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3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:\My Drive\Gainful\IT Training\"/>
    </mc:Choice>
  </mc:AlternateContent>
  <xr:revisionPtr revIDLastSave="0" documentId="13_ncr:1_{8251A6EA-218A-4CC9-802D-980DB216B6B5}" xr6:coauthVersionLast="47" xr6:coauthVersionMax="47" xr10:uidLastSave="{00000000-0000-0000-0000-000000000000}"/>
  <bookViews>
    <workbookView xWindow="-120" yWindow="-120" windowWidth="29040" windowHeight="15720" tabRatio="769" xr2:uid="{159E84A3-5840-4382-B35B-1CAEB3B9A017}"/>
  </bookViews>
  <sheets>
    <sheet name="Sales" sheetId="2" r:id="rId1"/>
    <sheet name="Spills" sheetId="42" r:id="rId2"/>
    <sheet name="Summary" sheetId="41" r:id="rId3"/>
    <sheet name="Restaurant" sheetId="12" r:id="rId4"/>
    <sheet name="Table" sheetId="19" r:id="rId5"/>
    <sheet name="Column Chart" sheetId="44" r:id="rId6"/>
    <sheet name="Combo Chart" sheetId="45" r:id="rId7"/>
    <sheet name="Economy" sheetId="40" r:id="rId8"/>
    <sheet name="Pie Chart" sheetId="43" r:id="rId9"/>
    <sheet name="Washing Powder" sheetId="5" r:id="rId10"/>
    <sheet name="Parliament" sheetId="4" r:id="rId11"/>
    <sheet name="Import" sheetId="20" r:id="rId12"/>
    <sheet name="Magic Chart" sheetId="3" r:id="rId13"/>
  </sheets>
  <definedNames>
    <definedName name="_xlnm._FilterDatabase" localSheetId="0" hidden="1">Sales!$A$1:$U$701</definedName>
    <definedName name="IrishHolidays">#REF!</definedName>
    <definedName name="Louis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7" i="2" l="1"/>
  <c r="F5" i="20" a="1"/>
  <c r="F6" i="20" a="1"/>
  <c r="F7" i="20" a="1"/>
  <c r="F8" i="20" a="1"/>
  <c r="F9" i="20" a="1"/>
  <c r="F10" i="20" a="1"/>
  <c r="F11" i="20" a="1"/>
  <c r="F12" i="20" a="1"/>
  <c r="F13" i="20" a="1"/>
  <c r="F14" i="20" a="1"/>
  <c r="F15" i="20" a="1"/>
  <c r="F16" i="20" a="1"/>
  <c r="F17" i="20" a="1"/>
  <c r="F18" i="20" a="1"/>
  <c r="M10" i="20"/>
  <c r="N10" i="20"/>
  <c r="O10" i="20"/>
  <c r="P10" i="20" s="1"/>
  <c r="M11" i="20"/>
  <c r="N11" i="20"/>
  <c r="O11" i="20"/>
  <c r="P11" i="20" s="1"/>
  <c r="M12" i="20"/>
  <c r="N12" i="20"/>
  <c r="O12" i="20"/>
  <c r="P12" i="20" s="1"/>
  <c r="M13" i="20"/>
  <c r="N13" i="20"/>
  <c r="O13" i="20"/>
  <c r="P13" i="20" s="1"/>
  <c r="M14" i="20"/>
  <c r="N14" i="20"/>
  <c r="O14" i="20"/>
  <c r="P14" i="20" s="1"/>
  <c r="M15" i="20"/>
  <c r="N15" i="20"/>
  <c r="O15" i="20"/>
  <c r="P15" i="20" s="1"/>
  <c r="O9" i="20"/>
  <c r="P9" i="20" s="1"/>
  <c r="N9" i="20"/>
  <c r="M9" i="20"/>
  <c r="P5" i="20"/>
  <c r="N5" i="20"/>
  <c r="S5" i="20"/>
  <c r="O5" i="20"/>
  <c r="M5" i="20"/>
  <c r="P4" i="20"/>
  <c r="O4" i="20"/>
  <c r="N4" i="20"/>
  <c r="M4" i="20"/>
  <c r="F4" i="20" a="1"/>
  <c r="B8" i="20"/>
  <c r="W5" i="42" a="1"/>
  <c r="A25" i="42" a="1"/>
  <c r="A25" i="42" s="1"/>
  <c r="A9" i="42" a="1"/>
  <c r="M5" i="42" a="1"/>
  <c r="C5" i="42" a="1"/>
  <c r="T3" i="2"/>
  <c r="T5" i="2"/>
  <c r="T6" i="2"/>
  <c r="T7" i="2"/>
  <c r="T8" i="2"/>
  <c r="T10" i="2"/>
  <c r="T11" i="2"/>
  <c r="T12" i="2"/>
  <c r="T16" i="2"/>
  <c r="T17" i="2"/>
  <c r="T18" i="2"/>
  <c r="T19" i="2"/>
  <c r="T20" i="2"/>
  <c r="T21" i="2"/>
  <c r="T22" i="2"/>
  <c r="T23" i="2"/>
  <c r="T26" i="2"/>
  <c r="T27" i="2"/>
  <c r="T28" i="2"/>
  <c r="T29" i="2"/>
  <c r="T30" i="2"/>
  <c r="T31" i="2"/>
  <c r="T32" i="2"/>
  <c r="T33" i="2"/>
  <c r="T34" i="2"/>
  <c r="T39" i="2"/>
  <c r="T40" i="2"/>
  <c r="T41" i="2"/>
  <c r="T42" i="2"/>
  <c r="T43" i="2"/>
  <c r="T44" i="2"/>
  <c r="T47" i="2"/>
  <c r="T48" i="2"/>
  <c r="T49" i="2"/>
  <c r="T50" i="2"/>
  <c r="T52" i="2"/>
  <c r="T53" i="2"/>
  <c r="T55" i="2"/>
  <c r="T57" i="2"/>
  <c r="T58" i="2"/>
  <c r="T61" i="2"/>
  <c r="T62" i="2"/>
  <c r="T63" i="2"/>
  <c r="T64" i="2"/>
  <c r="T65" i="2"/>
  <c r="T69" i="2"/>
  <c r="T70" i="2"/>
  <c r="T71" i="2"/>
  <c r="T73" i="2"/>
  <c r="T74" i="2"/>
  <c r="T76" i="2"/>
  <c r="T79" i="2"/>
  <c r="T82" i="2"/>
  <c r="T83" i="2"/>
  <c r="T84" i="2"/>
  <c r="T86" i="2"/>
  <c r="T88" i="2"/>
  <c r="T89" i="2"/>
  <c r="T90" i="2"/>
  <c r="T91" i="2"/>
  <c r="T92" i="2"/>
  <c r="T93" i="2"/>
  <c r="T94" i="2"/>
  <c r="T95" i="2"/>
  <c r="T96" i="2"/>
  <c r="T97" i="2"/>
  <c r="T99" i="2"/>
  <c r="T101" i="2"/>
  <c r="T102" i="2"/>
  <c r="T103" i="2"/>
  <c r="T104" i="2"/>
  <c r="T105" i="2"/>
  <c r="T106" i="2"/>
  <c r="T107" i="2"/>
  <c r="T108" i="2"/>
  <c r="T109" i="2"/>
  <c r="T110" i="2"/>
  <c r="T114" i="2"/>
  <c r="T116" i="2"/>
  <c r="T117" i="2"/>
  <c r="T119" i="2"/>
  <c r="T120" i="2"/>
  <c r="T122" i="2"/>
  <c r="T123" i="2"/>
  <c r="T124" i="2"/>
  <c r="T125" i="2"/>
  <c r="T126" i="2"/>
  <c r="T129" i="2"/>
  <c r="T132" i="2"/>
  <c r="T133" i="2"/>
  <c r="T137" i="2"/>
  <c r="T138" i="2"/>
  <c r="T139" i="2"/>
  <c r="T141" i="2"/>
  <c r="T142" i="2"/>
  <c r="T143" i="2"/>
  <c r="T146" i="2"/>
  <c r="T148" i="2"/>
  <c r="T150" i="2"/>
  <c r="T151" i="2"/>
  <c r="T152" i="2"/>
  <c r="T153" i="2"/>
  <c r="T154" i="2"/>
  <c r="T155" i="2"/>
  <c r="T156" i="2"/>
  <c r="T158" i="2"/>
  <c r="T160" i="2"/>
  <c r="T164" i="2"/>
  <c r="T166" i="2"/>
  <c r="T167" i="2"/>
  <c r="T168" i="2"/>
  <c r="T169" i="2"/>
  <c r="T171" i="2"/>
  <c r="T173" i="2"/>
  <c r="T175" i="2"/>
  <c r="T176" i="2"/>
  <c r="T178" i="2"/>
  <c r="T180" i="2"/>
  <c r="T181" i="2"/>
  <c r="T182" i="2"/>
  <c r="T183" i="2"/>
  <c r="T184" i="2"/>
  <c r="T185" i="2"/>
  <c r="T186" i="2"/>
  <c r="T187" i="2"/>
  <c r="T188" i="2"/>
  <c r="T189" i="2"/>
  <c r="T191" i="2"/>
  <c r="T193" i="2"/>
  <c r="T194" i="2"/>
  <c r="T195" i="2"/>
  <c r="T196" i="2"/>
  <c r="T198" i="2"/>
  <c r="T199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6" i="2"/>
  <c r="T217" i="2"/>
  <c r="T218" i="2"/>
  <c r="T219" i="2"/>
  <c r="T220" i="2"/>
  <c r="T221" i="2"/>
  <c r="T223" i="2"/>
  <c r="T225" i="2"/>
  <c r="T226" i="2"/>
  <c r="T227" i="2"/>
  <c r="T229" i="2"/>
  <c r="T231" i="2"/>
  <c r="T232" i="2"/>
  <c r="T233" i="2"/>
  <c r="T234" i="2"/>
  <c r="T235" i="2"/>
  <c r="T237" i="2"/>
  <c r="T238" i="2"/>
  <c r="T239" i="2"/>
  <c r="T240" i="2"/>
  <c r="T241" i="2"/>
  <c r="T244" i="2"/>
  <c r="T245" i="2"/>
  <c r="T246" i="2"/>
  <c r="T251" i="2"/>
  <c r="T252" i="2"/>
  <c r="T253" i="2"/>
  <c r="T254" i="2"/>
  <c r="T255" i="2"/>
  <c r="T256" i="2"/>
  <c r="T259" i="2"/>
  <c r="T260" i="2"/>
  <c r="T262" i="2"/>
  <c r="T263" i="2"/>
  <c r="T264" i="2"/>
  <c r="T265" i="2"/>
  <c r="T266" i="2"/>
  <c r="T267" i="2"/>
  <c r="T271" i="2"/>
  <c r="T272" i="2"/>
  <c r="T273" i="2"/>
  <c r="T274" i="2"/>
  <c r="T275" i="2"/>
  <c r="T276" i="2"/>
  <c r="T278" i="2"/>
  <c r="T279" i="2"/>
  <c r="T281" i="2"/>
  <c r="T282" i="2"/>
  <c r="T284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5" i="2"/>
  <c r="T517" i="2"/>
  <c r="T518" i="2"/>
  <c r="T520" i="2"/>
  <c r="T521" i="2"/>
  <c r="T523" i="2"/>
  <c r="T524" i="2"/>
  <c r="T525" i="2"/>
  <c r="T526" i="2"/>
  <c r="T528" i="2"/>
  <c r="T529" i="2"/>
  <c r="T530" i="2"/>
  <c r="T531" i="2"/>
  <c r="T532" i="2"/>
  <c r="T533" i="2"/>
  <c r="T535" i="2"/>
  <c r="T536" i="2"/>
  <c r="T537" i="2"/>
  <c r="T538" i="2"/>
  <c r="T540" i="2"/>
  <c r="T541" i="2"/>
  <c r="T542" i="2"/>
  <c r="T543" i="2"/>
  <c r="T544" i="2"/>
  <c r="T546" i="2"/>
  <c r="T547" i="2"/>
  <c r="T548" i="2"/>
  <c r="T549" i="2"/>
  <c r="T551" i="2"/>
  <c r="T552" i="2"/>
  <c r="T555" i="2"/>
  <c r="T556" i="2"/>
  <c r="T557" i="2"/>
  <c r="T558" i="2"/>
  <c r="T559" i="2"/>
  <c r="T560" i="2"/>
  <c r="T562" i="2"/>
  <c r="T567" i="2"/>
  <c r="T568" i="2"/>
  <c r="T570" i="2"/>
  <c r="T571" i="2"/>
  <c r="T572" i="2"/>
  <c r="T573" i="2"/>
  <c r="T574" i="2"/>
  <c r="T576" i="2"/>
  <c r="T578" i="2"/>
  <c r="T580" i="2"/>
  <c r="T581" i="2"/>
  <c r="T582" i="2"/>
  <c r="T585" i="2"/>
  <c r="T587" i="2"/>
  <c r="T588" i="2"/>
  <c r="T589" i="2"/>
  <c r="T591" i="2"/>
  <c r="T593" i="2"/>
  <c r="T594" i="2"/>
  <c r="T596" i="2"/>
  <c r="T597" i="2"/>
  <c r="T598" i="2"/>
  <c r="T599" i="2"/>
  <c r="T600" i="2"/>
  <c r="T604" i="2"/>
  <c r="T605" i="2"/>
  <c r="T606" i="2"/>
  <c r="T607" i="2"/>
  <c r="T608" i="2"/>
  <c r="T609" i="2"/>
  <c r="T610" i="2"/>
  <c r="T612" i="2"/>
  <c r="T615" i="2"/>
  <c r="T617" i="2"/>
  <c r="T618" i="2"/>
  <c r="T620" i="2"/>
  <c r="T621" i="2"/>
  <c r="T624" i="2"/>
  <c r="T625" i="2"/>
  <c r="T626" i="2"/>
  <c r="T627" i="2"/>
  <c r="T628" i="2"/>
  <c r="T630" i="2"/>
  <c r="T632" i="2"/>
  <c r="T633" i="2"/>
  <c r="T634" i="2"/>
  <c r="T638" i="2"/>
  <c r="T639" i="2"/>
  <c r="T641" i="2"/>
  <c r="T643" i="2"/>
  <c r="T645" i="2"/>
  <c r="T646" i="2"/>
  <c r="T647" i="2"/>
  <c r="T648" i="2"/>
  <c r="T650" i="2"/>
  <c r="T651" i="2"/>
  <c r="T652" i="2"/>
  <c r="T653" i="2"/>
  <c r="T654" i="2"/>
  <c r="T656" i="2"/>
  <c r="T657" i="2"/>
  <c r="T658" i="2"/>
  <c r="T659" i="2"/>
  <c r="T660" i="2"/>
  <c r="T661" i="2"/>
  <c r="T664" i="2"/>
  <c r="T665" i="2"/>
  <c r="T666" i="2"/>
  <c r="T667" i="2"/>
  <c r="T668" i="2"/>
  <c r="T669" i="2"/>
  <c r="T670" i="2"/>
  <c r="T672" i="2"/>
  <c r="T674" i="2"/>
  <c r="T675" i="2"/>
  <c r="T676" i="2"/>
  <c r="T677" i="2"/>
  <c r="T679" i="2"/>
  <c r="T680" i="2"/>
  <c r="T681" i="2"/>
  <c r="T682" i="2"/>
  <c r="T683" i="2"/>
  <c r="T685" i="2"/>
  <c r="T686" i="2"/>
  <c r="T687" i="2"/>
  <c r="T689" i="2"/>
  <c r="T690" i="2"/>
  <c r="T693" i="2"/>
  <c r="T694" i="2"/>
  <c r="T695" i="2"/>
  <c r="T696" i="2"/>
  <c r="T697" i="2"/>
  <c r="T698" i="2"/>
  <c r="T699" i="2"/>
  <c r="T700" i="2"/>
  <c r="T701" i="2"/>
  <c r="T2" i="2"/>
  <c r="U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2" i="2"/>
  <c r="Z12" i="2"/>
  <c r="Y6" i="2"/>
  <c r="Y5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9" i="2"/>
  <c r="R132" i="2"/>
  <c r="R133" i="2"/>
  <c r="R137" i="2"/>
  <c r="R138" i="2"/>
  <c r="R139" i="2"/>
  <c r="R141" i="2"/>
  <c r="R142" i="2"/>
  <c r="R143" i="2"/>
  <c r="R146" i="2"/>
  <c r="R148" i="2"/>
  <c r="R150" i="2"/>
  <c r="R151" i="2"/>
  <c r="R152" i="2"/>
  <c r="R153" i="2"/>
  <c r="R154" i="2"/>
  <c r="R155" i="2"/>
  <c r="R156" i="2"/>
  <c r="R158" i="2"/>
  <c r="R160" i="2"/>
  <c r="R164" i="2"/>
  <c r="R166" i="2"/>
  <c r="R167" i="2"/>
  <c r="R168" i="2"/>
  <c r="R169" i="2"/>
  <c r="R171" i="2"/>
  <c r="R173" i="2"/>
  <c r="R175" i="2"/>
  <c r="R176" i="2"/>
  <c r="R178" i="2"/>
  <c r="R180" i="2"/>
  <c r="R181" i="2"/>
  <c r="R182" i="2"/>
  <c r="R183" i="2"/>
  <c r="R184" i="2"/>
  <c r="R185" i="2"/>
  <c r="R186" i="2"/>
  <c r="R187" i="2"/>
  <c r="R188" i="2"/>
  <c r="R189" i="2"/>
  <c r="R191" i="2"/>
  <c r="R193" i="2"/>
  <c r="R194" i="2"/>
  <c r="R195" i="2"/>
  <c r="R196" i="2"/>
  <c r="R198" i="2"/>
  <c r="R199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6" i="2"/>
  <c r="R217" i="2"/>
  <c r="R218" i="2"/>
  <c r="R219" i="2"/>
  <c r="R220" i="2"/>
  <c r="R221" i="2"/>
  <c r="R223" i="2"/>
  <c r="R225" i="2"/>
  <c r="R226" i="2"/>
  <c r="R227" i="2"/>
  <c r="R229" i="2"/>
  <c r="R231" i="2"/>
  <c r="R232" i="2"/>
  <c r="R233" i="2"/>
  <c r="R234" i="2"/>
  <c r="R235" i="2"/>
  <c r="R237" i="2"/>
  <c r="R238" i="2"/>
  <c r="R239" i="2"/>
  <c r="R240" i="2"/>
  <c r="R241" i="2"/>
  <c r="R244" i="2"/>
  <c r="R245" i="2"/>
  <c r="R246" i="2"/>
  <c r="R251" i="2"/>
  <c r="R252" i="2"/>
  <c r="R253" i="2"/>
  <c r="R254" i="2"/>
  <c r="R255" i="2"/>
  <c r="R256" i="2"/>
  <c r="R259" i="2"/>
  <c r="R260" i="2"/>
  <c r="R262" i="2"/>
  <c r="R263" i="2"/>
  <c r="R264" i="2"/>
  <c r="R265" i="2"/>
  <c r="R266" i="2"/>
  <c r="R267" i="2"/>
  <c r="R271" i="2"/>
  <c r="R272" i="2"/>
  <c r="R273" i="2"/>
  <c r="R274" i="2"/>
  <c r="R275" i="2"/>
  <c r="R276" i="2"/>
  <c r="R278" i="2"/>
  <c r="R279" i="2"/>
  <c r="R281" i="2"/>
  <c r="R282" i="2"/>
  <c r="R284" i="2"/>
  <c r="R287" i="2"/>
  <c r="R288" i="2"/>
  <c r="R289" i="2"/>
  <c r="R290" i="2"/>
  <c r="R292" i="2"/>
  <c r="R293" i="2"/>
  <c r="R295" i="2"/>
  <c r="R296" i="2"/>
  <c r="R297" i="2"/>
  <c r="R299" i="2"/>
  <c r="R300" i="2"/>
  <c r="R301" i="2"/>
  <c r="R302" i="2"/>
  <c r="R303" i="2"/>
  <c r="R305" i="2"/>
  <c r="R306" i="2"/>
  <c r="R307" i="2"/>
  <c r="R308" i="2"/>
  <c r="R309" i="2"/>
  <c r="R312" i="2"/>
  <c r="R314" i="2"/>
  <c r="R315" i="2"/>
  <c r="R316" i="2"/>
  <c r="R317" i="2"/>
  <c r="R319" i="2"/>
  <c r="R320" i="2"/>
  <c r="R321" i="2"/>
  <c r="R323" i="2"/>
  <c r="R324" i="2"/>
  <c r="R325" i="2"/>
  <c r="R327" i="2"/>
  <c r="R328" i="2"/>
  <c r="R329" i="2"/>
  <c r="R330" i="2"/>
  <c r="R332" i="2"/>
  <c r="R333" i="2"/>
  <c r="R334" i="2"/>
  <c r="R337" i="2"/>
  <c r="R338" i="2"/>
  <c r="R339" i="2"/>
  <c r="R340" i="2"/>
  <c r="R341" i="2"/>
  <c r="R342" i="2"/>
  <c r="R343" i="2"/>
  <c r="R344" i="2"/>
  <c r="R345" i="2"/>
  <c r="R346" i="2"/>
  <c r="R347" i="2"/>
  <c r="R349" i="2"/>
  <c r="R351" i="2"/>
  <c r="R352" i="2"/>
  <c r="R354" i="2"/>
  <c r="R355" i="2"/>
  <c r="R357" i="2"/>
  <c r="R358" i="2"/>
  <c r="R360" i="2"/>
  <c r="R361" i="2"/>
  <c r="R362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1" i="2"/>
  <c r="R382" i="2"/>
  <c r="R383" i="2"/>
  <c r="R385" i="2"/>
  <c r="R386" i="2"/>
  <c r="R389" i="2"/>
  <c r="R390" i="2"/>
  <c r="R392" i="2"/>
  <c r="R393" i="2"/>
  <c r="R394" i="2"/>
  <c r="R395" i="2"/>
  <c r="R396" i="2"/>
  <c r="R397" i="2"/>
  <c r="R399" i="2"/>
  <c r="R400" i="2"/>
  <c r="R401" i="2"/>
  <c r="R403" i="2"/>
  <c r="R405" i="2"/>
  <c r="R406" i="2"/>
  <c r="R407" i="2"/>
  <c r="R409" i="2"/>
  <c r="R410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4" i="2"/>
  <c r="R435" i="2"/>
  <c r="R436" i="2"/>
  <c r="R438" i="2"/>
  <c r="R439" i="2"/>
  <c r="R440" i="2"/>
  <c r="R441" i="2"/>
  <c r="R442" i="2"/>
  <c r="R445" i="2"/>
  <c r="R447" i="2"/>
  <c r="R450" i="2"/>
  <c r="R451" i="2"/>
  <c r="R453" i="2"/>
  <c r="R454" i="2"/>
  <c r="R456" i="2"/>
  <c r="R457" i="2"/>
  <c r="R458" i="2"/>
  <c r="R459" i="2"/>
  <c r="R460" i="2"/>
  <c r="R462" i="2"/>
  <c r="R463" i="2"/>
  <c r="R464" i="2"/>
  <c r="R465" i="2"/>
  <c r="R468" i="2"/>
  <c r="R469" i="2"/>
  <c r="R470" i="2"/>
  <c r="R471" i="2"/>
  <c r="R473" i="2"/>
  <c r="R475" i="2"/>
  <c r="R476" i="2"/>
  <c r="R477" i="2"/>
  <c r="R478" i="2"/>
  <c r="R479" i="2"/>
  <c r="R480" i="2"/>
  <c r="R481" i="2"/>
  <c r="R484" i="2"/>
  <c r="R485" i="2"/>
  <c r="R486" i="2"/>
  <c r="R488" i="2"/>
  <c r="R491" i="2"/>
  <c r="R493" i="2"/>
  <c r="R495" i="2"/>
  <c r="R496" i="2"/>
  <c r="R498" i="2"/>
  <c r="R499" i="2"/>
  <c r="R500" i="2"/>
  <c r="R501" i="2"/>
  <c r="R503" i="2"/>
  <c r="R504" i="2"/>
  <c r="R506" i="2"/>
  <c r="R508" i="2"/>
  <c r="R509" i="2"/>
  <c r="R510" i="2"/>
  <c r="R512" i="2"/>
  <c r="R513" i="2"/>
  <c r="R515" i="2"/>
  <c r="R517" i="2"/>
  <c r="R518" i="2"/>
  <c r="R520" i="2"/>
  <c r="R521" i="2"/>
  <c r="R523" i="2"/>
  <c r="R524" i="2"/>
  <c r="R525" i="2"/>
  <c r="R526" i="2"/>
  <c r="R528" i="2"/>
  <c r="R529" i="2"/>
  <c r="R530" i="2"/>
  <c r="R531" i="2"/>
  <c r="R532" i="2"/>
  <c r="R533" i="2"/>
  <c r="R535" i="2"/>
  <c r="R536" i="2"/>
  <c r="R537" i="2"/>
  <c r="R538" i="2"/>
  <c r="R540" i="2"/>
  <c r="R541" i="2"/>
  <c r="R542" i="2"/>
  <c r="R543" i="2"/>
  <c r="R544" i="2"/>
  <c r="R546" i="2"/>
  <c r="R547" i="2"/>
  <c r="R548" i="2"/>
  <c r="R549" i="2"/>
  <c r="R551" i="2"/>
  <c r="R552" i="2"/>
  <c r="R555" i="2"/>
  <c r="R556" i="2"/>
  <c r="R557" i="2"/>
  <c r="R558" i="2"/>
  <c r="R559" i="2"/>
  <c r="R560" i="2"/>
  <c r="R562" i="2"/>
  <c r="R567" i="2"/>
  <c r="R568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2" i="2"/>
  <c r="Q35" i="2"/>
  <c r="P35" i="2" s="1"/>
  <c r="Q36" i="2"/>
  <c r="P36" i="2" s="1"/>
  <c r="Q37" i="2"/>
  <c r="P37" i="2" s="1"/>
  <c r="Q38" i="2"/>
  <c r="P38" i="2" s="1"/>
  <c r="Q39" i="2"/>
  <c r="P39" i="2" s="1"/>
  <c r="Q40" i="2"/>
  <c r="P40" i="2" s="1"/>
  <c r="Q41" i="2"/>
  <c r="P41" i="2" s="1"/>
  <c r="Q42" i="2"/>
  <c r="P42" i="2" s="1"/>
  <c r="Q43" i="2"/>
  <c r="P43" i="2" s="1"/>
  <c r="Q44" i="2"/>
  <c r="P44" i="2" s="1"/>
  <c r="Q45" i="2"/>
  <c r="Q46" i="2"/>
  <c r="Q47" i="2"/>
  <c r="P47" i="2" s="1"/>
  <c r="Q48" i="2"/>
  <c r="P48" i="2" s="1"/>
  <c r="Q49" i="2"/>
  <c r="P49" i="2" s="1"/>
  <c r="Q50" i="2"/>
  <c r="P50" i="2" s="1"/>
  <c r="Q51" i="2"/>
  <c r="Q52" i="2"/>
  <c r="P52" i="2" s="1"/>
  <c r="Q53" i="2"/>
  <c r="P53" i="2" s="1"/>
  <c r="Q54" i="2"/>
  <c r="Q55" i="2"/>
  <c r="P55" i="2" s="1"/>
  <c r="Q56" i="2"/>
  <c r="Q57" i="2"/>
  <c r="P57" i="2" s="1"/>
  <c r="Q58" i="2"/>
  <c r="P58" i="2" s="1"/>
  <c r="Q59" i="2"/>
  <c r="Q60" i="2"/>
  <c r="Q61" i="2"/>
  <c r="P61" i="2" s="1"/>
  <c r="Q62" i="2"/>
  <c r="P62" i="2" s="1"/>
  <c r="Q63" i="2"/>
  <c r="P63" i="2" s="1"/>
  <c r="Q64" i="2"/>
  <c r="P64" i="2" s="1"/>
  <c r="Q65" i="2"/>
  <c r="P65" i="2" s="1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P96" i="2" s="1"/>
  <c r="Q97" i="2"/>
  <c r="P97" i="2" s="1"/>
  <c r="Q98" i="2"/>
  <c r="Q99" i="2"/>
  <c r="P99" i="2" s="1"/>
  <c r="Q100" i="2"/>
  <c r="Q101" i="2"/>
  <c r="P101" i="2" s="1"/>
  <c r="Q102" i="2"/>
  <c r="P102" i="2" s="1"/>
  <c r="Q103" i="2"/>
  <c r="P103" i="2" s="1"/>
  <c r="Q104" i="2"/>
  <c r="P104" i="2" s="1"/>
  <c r="Q105" i="2"/>
  <c r="P105" i="2" s="1"/>
  <c r="Q106" i="2"/>
  <c r="P106" i="2" s="1"/>
  <c r="Q107" i="2"/>
  <c r="P107" i="2" s="1"/>
  <c r="Q108" i="2"/>
  <c r="P108" i="2" s="1"/>
  <c r="Q109" i="2"/>
  <c r="P109" i="2" s="1"/>
  <c r="Q110" i="2"/>
  <c r="P110" i="2" s="1"/>
  <c r="Q111" i="2"/>
  <c r="Q112" i="2"/>
  <c r="Q113" i="2"/>
  <c r="Q114" i="2"/>
  <c r="P114" i="2" s="1"/>
  <c r="Q115" i="2"/>
  <c r="Q116" i="2"/>
  <c r="P116" i="2" s="1"/>
  <c r="Q117" i="2"/>
  <c r="P117" i="2" s="1"/>
  <c r="Q118" i="2"/>
  <c r="Q119" i="2"/>
  <c r="P119" i="2" s="1"/>
  <c r="Q120" i="2"/>
  <c r="P120" i="2" s="1"/>
  <c r="Q121" i="2"/>
  <c r="Q122" i="2"/>
  <c r="P122" i="2" s="1"/>
  <c r="Q123" i="2"/>
  <c r="P123" i="2" s="1"/>
  <c r="Q124" i="2"/>
  <c r="P124" i="2" s="1"/>
  <c r="Q125" i="2"/>
  <c r="P125" i="2" s="1"/>
  <c r="Q126" i="2"/>
  <c r="P126" i="2" s="1"/>
  <c r="Q127" i="2"/>
  <c r="Q128" i="2"/>
  <c r="Q129" i="2"/>
  <c r="P129" i="2" s="1"/>
  <c r="Q130" i="2"/>
  <c r="Q131" i="2"/>
  <c r="Q132" i="2"/>
  <c r="P132" i="2" s="1"/>
  <c r="Q133" i="2"/>
  <c r="P133" i="2" s="1"/>
  <c r="Q134" i="2"/>
  <c r="Q135" i="2"/>
  <c r="Q136" i="2"/>
  <c r="Q137" i="2"/>
  <c r="P137" i="2" s="1"/>
  <c r="Q138" i="2"/>
  <c r="P138" i="2" s="1"/>
  <c r="Q139" i="2"/>
  <c r="P139" i="2" s="1"/>
  <c r="Q140" i="2"/>
  <c r="Q141" i="2"/>
  <c r="P141" i="2" s="1"/>
  <c r="Q142" i="2"/>
  <c r="P142" i="2" s="1"/>
  <c r="Q143" i="2"/>
  <c r="P143" i="2" s="1"/>
  <c r="Q144" i="2"/>
  <c r="Q145" i="2"/>
  <c r="Q146" i="2"/>
  <c r="P146" i="2" s="1"/>
  <c r="Q147" i="2"/>
  <c r="Q148" i="2"/>
  <c r="P148" i="2" s="1"/>
  <c r="Q149" i="2"/>
  <c r="Q150" i="2"/>
  <c r="P150" i="2" s="1"/>
  <c r="Q151" i="2"/>
  <c r="P151" i="2" s="1"/>
  <c r="Q152" i="2"/>
  <c r="P152" i="2" s="1"/>
  <c r="Q153" i="2"/>
  <c r="P153" i="2" s="1"/>
  <c r="Q154" i="2"/>
  <c r="P154" i="2" s="1"/>
  <c r="Q155" i="2"/>
  <c r="P155" i="2" s="1"/>
  <c r="Q156" i="2"/>
  <c r="P156" i="2" s="1"/>
  <c r="Q157" i="2"/>
  <c r="Q158" i="2"/>
  <c r="P158" i="2" s="1"/>
  <c r="Q159" i="2"/>
  <c r="Q160" i="2"/>
  <c r="P160" i="2" s="1"/>
  <c r="Q161" i="2"/>
  <c r="Q162" i="2"/>
  <c r="Q163" i="2"/>
  <c r="Q164" i="2"/>
  <c r="P164" i="2" s="1"/>
  <c r="Q165" i="2"/>
  <c r="Q166" i="2"/>
  <c r="P166" i="2" s="1"/>
  <c r="Q167" i="2"/>
  <c r="P167" i="2" s="1"/>
  <c r="Q168" i="2"/>
  <c r="P168" i="2" s="1"/>
  <c r="Q169" i="2"/>
  <c r="P169" i="2" s="1"/>
  <c r="Q170" i="2"/>
  <c r="Q171" i="2"/>
  <c r="P171" i="2" s="1"/>
  <c r="Q172" i="2"/>
  <c r="Q173" i="2"/>
  <c r="P173" i="2" s="1"/>
  <c r="Q174" i="2"/>
  <c r="Q175" i="2"/>
  <c r="P175" i="2" s="1"/>
  <c r="Q176" i="2"/>
  <c r="P176" i="2" s="1"/>
  <c r="Q177" i="2"/>
  <c r="Q178" i="2"/>
  <c r="P178" i="2" s="1"/>
  <c r="Q179" i="2"/>
  <c r="Q180" i="2"/>
  <c r="P180" i="2" s="1"/>
  <c r="Q181" i="2"/>
  <c r="P181" i="2" s="1"/>
  <c r="Q182" i="2"/>
  <c r="P182" i="2" s="1"/>
  <c r="Q183" i="2"/>
  <c r="P183" i="2" s="1"/>
  <c r="Q184" i="2"/>
  <c r="P184" i="2" s="1"/>
  <c r="Q185" i="2"/>
  <c r="P185" i="2" s="1"/>
  <c r="Q186" i="2"/>
  <c r="P186" i="2" s="1"/>
  <c r="Q187" i="2"/>
  <c r="P187" i="2" s="1"/>
  <c r="Q188" i="2"/>
  <c r="P188" i="2" s="1"/>
  <c r="Q189" i="2"/>
  <c r="P189" i="2" s="1"/>
  <c r="Q190" i="2"/>
  <c r="Q191" i="2"/>
  <c r="P191" i="2" s="1"/>
  <c r="Q192" i="2"/>
  <c r="Q193" i="2"/>
  <c r="P193" i="2" s="1"/>
  <c r="Q194" i="2"/>
  <c r="P194" i="2" s="1"/>
  <c r="Q195" i="2"/>
  <c r="P195" i="2" s="1"/>
  <c r="Q196" i="2"/>
  <c r="P196" i="2" s="1"/>
  <c r="Q197" i="2"/>
  <c r="Q198" i="2"/>
  <c r="P198" i="2" s="1"/>
  <c r="Q199" i="2"/>
  <c r="P199" i="2" s="1"/>
  <c r="Q200" i="2"/>
  <c r="Q201" i="2"/>
  <c r="P201" i="2" s="1"/>
  <c r="Q202" i="2"/>
  <c r="P202" i="2" s="1"/>
  <c r="Q203" i="2"/>
  <c r="P203" i="2" s="1"/>
  <c r="Q204" i="2"/>
  <c r="P204" i="2" s="1"/>
  <c r="Q205" i="2"/>
  <c r="P205" i="2" s="1"/>
  <c r="Q206" i="2"/>
  <c r="P206" i="2" s="1"/>
  <c r="Q207" i="2"/>
  <c r="P207" i="2" s="1"/>
  <c r="Q208" i="2"/>
  <c r="P208" i="2" s="1"/>
  <c r="Q209" i="2"/>
  <c r="P209" i="2" s="1"/>
  <c r="Q210" i="2"/>
  <c r="P210" i="2" s="1"/>
  <c r="Q211" i="2"/>
  <c r="P211" i="2" s="1"/>
  <c r="Q212" i="2"/>
  <c r="P212" i="2" s="1"/>
  <c r="Q213" i="2"/>
  <c r="P213" i="2" s="1"/>
  <c r="Q214" i="2"/>
  <c r="P214" i="2" s="1"/>
  <c r="Q215" i="2"/>
  <c r="Q216" i="2"/>
  <c r="P216" i="2" s="1"/>
  <c r="Q217" i="2"/>
  <c r="P217" i="2" s="1"/>
  <c r="Q218" i="2"/>
  <c r="P218" i="2" s="1"/>
  <c r="Q219" i="2"/>
  <c r="P219" i="2" s="1"/>
  <c r="Q220" i="2"/>
  <c r="P220" i="2" s="1"/>
  <c r="Q221" i="2"/>
  <c r="P221" i="2" s="1"/>
  <c r="Q222" i="2"/>
  <c r="Q223" i="2"/>
  <c r="P223" i="2" s="1"/>
  <c r="Q224" i="2"/>
  <c r="Q225" i="2"/>
  <c r="P225" i="2" s="1"/>
  <c r="Q226" i="2"/>
  <c r="P226" i="2" s="1"/>
  <c r="Q227" i="2"/>
  <c r="P227" i="2" s="1"/>
  <c r="Q228" i="2"/>
  <c r="Q229" i="2"/>
  <c r="P229" i="2" s="1"/>
  <c r="Q230" i="2"/>
  <c r="Q231" i="2"/>
  <c r="P231" i="2" s="1"/>
  <c r="Q232" i="2"/>
  <c r="P232" i="2" s="1"/>
  <c r="Q233" i="2"/>
  <c r="P233" i="2" s="1"/>
  <c r="Q234" i="2"/>
  <c r="P234" i="2" s="1"/>
  <c r="Q235" i="2"/>
  <c r="P235" i="2" s="1"/>
  <c r="Q236" i="2"/>
  <c r="Q237" i="2"/>
  <c r="P237" i="2" s="1"/>
  <c r="Q238" i="2"/>
  <c r="P238" i="2" s="1"/>
  <c r="Q239" i="2"/>
  <c r="P239" i="2" s="1"/>
  <c r="Q240" i="2"/>
  <c r="P240" i="2" s="1"/>
  <c r="Q241" i="2"/>
  <c r="P241" i="2" s="1"/>
  <c r="Q242" i="2"/>
  <c r="Q243" i="2"/>
  <c r="Q244" i="2"/>
  <c r="P244" i="2" s="1"/>
  <c r="Q245" i="2"/>
  <c r="P245" i="2" s="1"/>
  <c r="Q246" i="2"/>
  <c r="P246" i="2" s="1"/>
  <c r="Q247" i="2"/>
  <c r="Q248" i="2"/>
  <c r="Q249" i="2"/>
  <c r="Q250" i="2"/>
  <c r="Q251" i="2"/>
  <c r="P251" i="2" s="1"/>
  <c r="Q252" i="2"/>
  <c r="P252" i="2" s="1"/>
  <c r="Q253" i="2"/>
  <c r="P253" i="2" s="1"/>
  <c r="Q254" i="2"/>
  <c r="P254" i="2" s="1"/>
  <c r="Q255" i="2"/>
  <c r="P255" i="2" s="1"/>
  <c r="Q256" i="2"/>
  <c r="P256" i="2" s="1"/>
  <c r="Q257" i="2"/>
  <c r="Q258" i="2"/>
  <c r="Q259" i="2"/>
  <c r="P259" i="2" s="1"/>
  <c r="Q260" i="2"/>
  <c r="P260" i="2" s="1"/>
  <c r="Q261" i="2"/>
  <c r="Q262" i="2"/>
  <c r="P262" i="2" s="1"/>
  <c r="Q263" i="2"/>
  <c r="P263" i="2" s="1"/>
  <c r="Q264" i="2"/>
  <c r="P264" i="2" s="1"/>
  <c r="Q265" i="2"/>
  <c r="P265" i="2" s="1"/>
  <c r="Q266" i="2"/>
  <c r="P266" i="2" s="1"/>
  <c r="Q267" i="2"/>
  <c r="P267" i="2" s="1"/>
  <c r="Q268" i="2"/>
  <c r="Q269" i="2"/>
  <c r="Q270" i="2"/>
  <c r="Q271" i="2"/>
  <c r="P271" i="2" s="1"/>
  <c r="Q272" i="2"/>
  <c r="P272" i="2" s="1"/>
  <c r="Q273" i="2"/>
  <c r="P273" i="2" s="1"/>
  <c r="Q274" i="2"/>
  <c r="P274" i="2" s="1"/>
  <c r="Q275" i="2"/>
  <c r="P275" i="2" s="1"/>
  <c r="Q276" i="2"/>
  <c r="P276" i="2" s="1"/>
  <c r="Q277" i="2"/>
  <c r="Q278" i="2"/>
  <c r="P278" i="2" s="1"/>
  <c r="Q279" i="2"/>
  <c r="P279" i="2" s="1"/>
  <c r="Q280" i="2"/>
  <c r="Q281" i="2"/>
  <c r="P281" i="2" s="1"/>
  <c r="Q282" i="2"/>
  <c r="P282" i="2" s="1"/>
  <c r="Q283" i="2"/>
  <c r="Q284" i="2"/>
  <c r="P284" i="2" s="1"/>
  <c r="Q285" i="2"/>
  <c r="Q286" i="2"/>
  <c r="Q287" i="2"/>
  <c r="P287" i="2" s="1"/>
  <c r="Q288" i="2"/>
  <c r="P288" i="2" s="1"/>
  <c r="Q289" i="2"/>
  <c r="P289" i="2" s="1"/>
  <c r="Q290" i="2"/>
  <c r="P290" i="2" s="1"/>
  <c r="Q291" i="2"/>
  <c r="Q292" i="2"/>
  <c r="P292" i="2" s="1"/>
  <c r="Q293" i="2"/>
  <c r="P293" i="2" s="1"/>
  <c r="Q294" i="2"/>
  <c r="Q295" i="2"/>
  <c r="P295" i="2" s="1"/>
  <c r="Q296" i="2"/>
  <c r="P296" i="2" s="1"/>
  <c r="Q297" i="2"/>
  <c r="P297" i="2" s="1"/>
  <c r="Q298" i="2"/>
  <c r="Q299" i="2"/>
  <c r="P299" i="2" s="1"/>
  <c r="Q300" i="2"/>
  <c r="P300" i="2" s="1"/>
  <c r="Q301" i="2"/>
  <c r="P301" i="2" s="1"/>
  <c r="Q302" i="2"/>
  <c r="P302" i="2" s="1"/>
  <c r="Q303" i="2"/>
  <c r="P303" i="2" s="1"/>
  <c r="Q304" i="2"/>
  <c r="Q305" i="2"/>
  <c r="P305" i="2" s="1"/>
  <c r="Q306" i="2"/>
  <c r="P306" i="2" s="1"/>
  <c r="Q307" i="2"/>
  <c r="P307" i="2" s="1"/>
  <c r="Q308" i="2"/>
  <c r="P308" i="2" s="1"/>
  <c r="Q309" i="2"/>
  <c r="P309" i="2" s="1"/>
  <c r="Q310" i="2"/>
  <c r="Q311" i="2"/>
  <c r="Q312" i="2"/>
  <c r="P312" i="2" s="1"/>
  <c r="Q313" i="2"/>
  <c r="Q314" i="2"/>
  <c r="P314" i="2" s="1"/>
  <c r="Q315" i="2"/>
  <c r="P315" i="2" s="1"/>
  <c r="Q316" i="2"/>
  <c r="P316" i="2" s="1"/>
  <c r="Q317" i="2"/>
  <c r="P317" i="2" s="1"/>
  <c r="Q318" i="2"/>
  <c r="Q319" i="2"/>
  <c r="P319" i="2" s="1"/>
  <c r="Q320" i="2"/>
  <c r="P320" i="2" s="1"/>
  <c r="Q321" i="2"/>
  <c r="P321" i="2" s="1"/>
  <c r="Q322" i="2"/>
  <c r="P322" i="2" s="1"/>
  <c r="Q323" i="2"/>
  <c r="P323" i="2" s="1"/>
  <c r="Q324" i="2"/>
  <c r="P324" i="2" s="1"/>
  <c r="Q325" i="2"/>
  <c r="P325" i="2" s="1"/>
  <c r="Q326" i="2"/>
  <c r="P326" i="2" s="1"/>
  <c r="Q327" i="2"/>
  <c r="P327" i="2" s="1"/>
  <c r="Q328" i="2"/>
  <c r="P328" i="2" s="1"/>
  <c r="Q329" i="2"/>
  <c r="P329" i="2" s="1"/>
  <c r="Q330" i="2"/>
  <c r="P330" i="2" s="1"/>
  <c r="Q331" i="2"/>
  <c r="P331" i="2" s="1"/>
  <c r="Q332" i="2"/>
  <c r="P332" i="2" s="1"/>
  <c r="Q333" i="2"/>
  <c r="P333" i="2" s="1"/>
  <c r="Q334" i="2"/>
  <c r="P334" i="2" s="1"/>
  <c r="Q335" i="2"/>
  <c r="P335" i="2" s="1"/>
  <c r="Q336" i="2"/>
  <c r="P336" i="2" s="1"/>
  <c r="Q337" i="2"/>
  <c r="P337" i="2" s="1"/>
  <c r="Q338" i="2"/>
  <c r="P338" i="2" s="1"/>
  <c r="Q339" i="2"/>
  <c r="P339" i="2" s="1"/>
  <c r="Q340" i="2"/>
  <c r="P340" i="2" s="1"/>
  <c r="Q341" i="2"/>
  <c r="P341" i="2" s="1"/>
  <c r="Q342" i="2"/>
  <c r="P342" i="2" s="1"/>
  <c r="Q343" i="2"/>
  <c r="P343" i="2" s="1"/>
  <c r="Q344" i="2"/>
  <c r="P344" i="2" s="1"/>
  <c r="Q345" i="2"/>
  <c r="P345" i="2" s="1"/>
  <c r="Q346" i="2"/>
  <c r="P346" i="2" s="1"/>
  <c r="Q347" i="2"/>
  <c r="P347" i="2" s="1"/>
  <c r="Q348" i="2"/>
  <c r="Q349" i="2"/>
  <c r="P349" i="2" s="1"/>
  <c r="Q350" i="2"/>
  <c r="Q351" i="2"/>
  <c r="P351" i="2" s="1"/>
  <c r="Q352" i="2"/>
  <c r="P352" i="2" s="1"/>
  <c r="Q353" i="2"/>
  <c r="Q354" i="2"/>
  <c r="P354" i="2" s="1"/>
  <c r="Q355" i="2"/>
  <c r="P355" i="2" s="1"/>
  <c r="Q356" i="2"/>
  <c r="Q357" i="2"/>
  <c r="P357" i="2" s="1"/>
  <c r="Q358" i="2"/>
  <c r="P358" i="2" s="1"/>
  <c r="Q359" i="2"/>
  <c r="Q360" i="2"/>
  <c r="P360" i="2" s="1"/>
  <c r="Q361" i="2"/>
  <c r="P361" i="2" s="1"/>
  <c r="Q362" i="2"/>
  <c r="P362" i="2" s="1"/>
  <c r="Q363" i="2"/>
  <c r="Q364" i="2"/>
  <c r="P364" i="2" s="1"/>
  <c r="Q365" i="2"/>
  <c r="P365" i="2" s="1"/>
  <c r="Q366" i="2"/>
  <c r="P366" i="2" s="1"/>
  <c r="Q367" i="2"/>
  <c r="P367" i="2" s="1"/>
  <c r="Q368" i="2"/>
  <c r="P368" i="2" s="1"/>
  <c r="Q369" i="2"/>
  <c r="P369" i="2" s="1"/>
  <c r="Q370" i="2"/>
  <c r="P370" i="2" s="1"/>
  <c r="Q371" i="2"/>
  <c r="P371" i="2" s="1"/>
  <c r="Q372" i="2"/>
  <c r="P372" i="2" s="1"/>
  <c r="Q373" i="2"/>
  <c r="P373" i="2" s="1"/>
  <c r="Q374" i="2"/>
  <c r="P374" i="2" s="1"/>
  <c r="Q375" i="2"/>
  <c r="P375" i="2" s="1"/>
  <c r="Q376" i="2"/>
  <c r="P376" i="2" s="1"/>
  <c r="Q377" i="2"/>
  <c r="P377" i="2" s="1"/>
  <c r="Q378" i="2"/>
  <c r="P378" i="2" s="1"/>
  <c r="Q379" i="2"/>
  <c r="P379" i="2" s="1"/>
  <c r="Q380" i="2"/>
  <c r="Q381" i="2"/>
  <c r="P381" i="2" s="1"/>
  <c r="Q382" i="2"/>
  <c r="P382" i="2" s="1"/>
  <c r="Q383" i="2"/>
  <c r="P383" i="2" s="1"/>
  <c r="Q384" i="2"/>
  <c r="Q385" i="2"/>
  <c r="P385" i="2" s="1"/>
  <c r="Q386" i="2"/>
  <c r="P386" i="2" s="1"/>
  <c r="Q387" i="2"/>
  <c r="Q388" i="2"/>
  <c r="Q389" i="2"/>
  <c r="P389" i="2" s="1"/>
  <c r="Q390" i="2"/>
  <c r="P390" i="2" s="1"/>
  <c r="Q391" i="2"/>
  <c r="Q392" i="2"/>
  <c r="P392" i="2" s="1"/>
  <c r="Q393" i="2"/>
  <c r="P393" i="2" s="1"/>
  <c r="Q394" i="2"/>
  <c r="P394" i="2" s="1"/>
  <c r="Q395" i="2"/>
  <c r="P395" i="2" s="1"/>
  <c r="Q396" i="2"/>
  <c r="P396" i="2" s="1"/>
  <c r="Q397" i="2"/>
  <c r="P397" i="2" s="1"/>
  <c r="Q398" i="2"/>
  <c r="Q399" i="2"/>
  <c r="P399" i="2" s="1"/>
  <c r="Q400" i="2"/>
  <c r="P400" i="2" s="1"/>
  <c r="Q401" i="2"/>
  <c r="P401" i="2" s="1"/>
  <c r="Q402" i="2"/>
  <c r="Q403" i="2"/>
  <c r="P403" i="2" s="1"/>
  <c r="Q404" i="2"/>
  <c r="Q405" i="2"/>
  <c r="P405" i="2" s="1"/>
  <c r="Q406" i="2"/>
  <c r="P406" i="2" s="1"/>
  <c r="Q407" i="2"/>
  <c r="P407" i="2" s="1"/>
  <c r="Q408" i="2"/>
  <c r="Q409" i="2"/>
  <c r="P409" i="2" s="1"/>
  <c r="Q410" i="2"/>
  <c r="P410" i="2" s="1"/>
  <c r="Q411" i="2"/>
  <c r="Q412" i="2"/>
  <c r="Q413" i="2"/>
  <c r="P413" i="2" s="1"/>
  <c r="Q414" i="2"/>
  <c r="P414" i="2" s="1"/>
  <c r="Q415" i="2"/>
  <c r="P415" i="2" s="1"/>
  <c r="Q416" i="2"/>
  <c r="P416" i="2" s="1"/>
  <c r="Q417" i="2"/>
  <c r="P417" i="2" s="1"/>
  <c r="Q418" i="2"/>
  <c r="P418" i="2" s="1"/>
  <c r="Q419" i="2"/>
  <c r="P419" i="2" s="1"/>
  <c r="Q420" i="2"/>
  <c r="P420" i="2" s="1"/>
  <c r="Q421" i="2"/>
  <c r="P421" i="2" s="1"/>
  <c r="Q422" i="2"/>
  <c r="P422" i="2" s="1"/>
  <c r="Q423" i="2"/>
  <c r="P423" i="2" s="1"/>
  <c r="Q424" i="2"/>
  <c r="P424" i="2" s="1"/>
  <c r="Q425" i="2"/>
  <c r="P425" i="2" s="1"/>
  <c r="Q426" i="2"/>
  <c r="P426" i="2" s="1"/>
  <c r="Q427" i="2"/>
  <c r="P427" i="2" s="1"/>
  <c r="Q428" i="2"/>
  <c r="P428" i="2" s="1"/>
  <c r="Q429" i="2"/>
  <c r="P429" i="2" s="1"/>
  <c r="Q430" i="2"/>
  <c r="P430" i="2" s="1"/>
  <c r="Q431" i="2"/>
  <c r="P431" i="2" s="1"/>
  <c r="Q432" i="2"/>
  <c r="P432" i="2" s="1"/>
  <c r="Q433" i="2"/>
  <c r="Q434" i="2"/>
  <c r="P434" i="2" s="1"/>
  <c r="Q435" i="2"/>
  <c r="P435" i="2" s="1"/>
  <c r="Q436" i="2"/>
  <c r="P436" i="2" s="1"/>
  <c r="Q437" i="2"/>
  <c r="Q438" i="2"/>
  <c r="P438" i="2" s="1"/>
  <c r="Q439" i="2"/>
  <c r="P439" i="2" s="1"/>
  <c r="Q440" i="2"/>
  <c r="P440" i="2" s="1"/>
  <c r="Q441" i="2"/>
  <c r="P441" i="2" s="1"/>
  <c r="Q442" i="2"/>
  <c r="P442" i="2" s="1"/>
  <c r="Q443" i="2"/>
  <c r="Q444" i="2"/>
  <c r="Q445" i="2"/>
  <c r="P445" i="2" s="1"/>
  <c r="Q446" i="2"/>
  <c r="Q447" i="2"/>
  <c r="P447" i="2" s="1"/>
  <c r="Q448" i="2"/>
  <c r="Q449" i="2"/>
  <c r="Q450" i="2"/>
  <c r="P450" i="2" s="1"/>
  <c r="Q451" i="2"/>
  <c r="P451" i="2" s="1"/>
  <c r="Q452" i="2"/>
  <c r="Q453" i="2"/>
  <c r="P453" i="2" s="1"/>
  <c r="Q454" i="2"/>
  <c r="P454" i="2" s="1"/>
  <c r="Q455" i="2"/>
  <c r="Q456" i="2"/>
  <c r="P456" i="2" s="1"/>
  <c r="Q457" i="2"/>
  <c r="P457" i="2" s="1"/>
  <c r="Q458" i="2"/>
  <c r="P458" i="2" s="1"/>
  <c r="Q459" i="2"/>
  <c r="P459" i="2" s="1"/>
  <c r="Q460" i="2"/>
  <c r="P460" i="2" s="1"/>
  <c r="Q461" i="2"/>
  <c r="Q462" i="2"/>
  <c r="P462" i="2" s="1"/>
  <c r="Q463" i="2"/>
  <c r="P463" i="2" s="1"/>
  <c r="Q464" i="2"/>
  <c r="P464" i="2" s="1"/>
  <c r="Q465" i="2"/>
  <c r="P465" i="2" s="1"/>
  <c r="Q466" i="2"/>
  <c r="Q467" i="2"/>
  <c r="Q468" i="2"/>
  <c r="P468" i="2" s="1"/>
  <c r="Q469" i="2"/>
  <c r="P469" i="2" s="1"/>
  <c r="Q470" i="2"/>
  <c r="P470" i="2" s="1"/>
  <c r="Q471" i="2"/>
  <c r="P471" i="2" s="1"/>
  <c r="Q472" i="2"/>
  <c r="Q473" i="2"/>
  <c r="P473" i="2" s="1"/>
  <c r="Q474" i="2"/>
  <c r="Q475" i="2"/>
  <c r="P475" i="2" s="1"/>
  <c r="Q476" i="2"/>
  <c r="P476" i="2" s="1"/>
  <c r="Q477" i="2"/>
  <c r="P477" i="2" s="1"/>
  <c r="Q478" i="2"/>
  <c r="P478" i="2" s="1"/>
  <c r="Q479" i="2"/>
  <c r="P479" i="2" s="1"/>
  <c r="Q480" i="2"/>
  <c r="P480" i="2" s="1"/>
  <c r="Q481" i="2"/>
  <c r="P481" i="2" s="1"/>
  <c r="Q482" i="2"/>
  <c r="Q483" i="2"/>
  <c r="Q484" i="2"/>
  <c r="P484" i="2" s="1"/>
  <c r="Q485" i="2"/>
  <c r="P485" i="2" s="1"/>
  <c r="Q486" i="2"/>
  <c r="P486" i="2" s="1"/>
  <c r="Q487" i="2"/>
  <c r="Q488" i="2"/>
  <c r="P488" i="2" s="1"/>
  <c r="Q489" i="2"/>
  <c r="Q490" i="2"/>
  <c r="Q491" i="2"/>
  <c r="P491" i="2" s="1"/>
  <c r="Q492" i="2"/>
  <c r="Q493" i="2"/>
  <c r="P493" i="2" s="1"/>
  <c r="Q494" i="2"/>
  <c r="Q495" i="2"/>
  <c r="P495" i="2" s="1"/>
  <c r="Q496" i="2"/>
  <c r="P496" i="2" s="1"/>
  <c r="Q497" i="2"/>
  <c r="Q498" i="2"/>
  <c r="P498" i="2" s="1"/>
  <c r="Q499" i="2"/>
  <c r="P499" i="2" s="1"/>
  <c r="Q500" i="2"/>
  <c r="P500" i="2" s="1"/>
  <c r="Q501" i="2"/>
  <c r="P501" i="2" s="1"/>
  <c r="Q502" i="2"/>
  <c r="Q503" i="2"/>
  <c r="P503" i="2" s="1"/>
  <c r="Q504" i="2"/>
  <c r="P504" i="2" s="1"/>
  <c r="Q505" i="2"/>
  <c r="Q506" i="2"/>
  <c r="P506" i="2" s="1"/>
  <c r="Q507" i="2"/>
  <c r="Q508" i="2"/>
  <c r="P508" i="2" s="1"/>
  <c r="Q509" i="2"/>
  <c r="P509" i="2" s="1"/>
  <c r="Q510" i="2"/>
  <c r="P510" i="2" s="1"/>
  <c r="Q511" i="2"/>
  <c r="Q512" i="2"/>
  <c r="P512" i="2" s="1"/>
  <c r="Q513" i="2"/>
  <c r="P513" i="2" s="1"/>
  <c r="Q514" i="2"/>
  <c r="Q515" i="2"/>
  <c r="P515" i="2" s="1"/>
  <c r="Q516" i="2"/>
  <c r="Q517" i="2"/>
  <c r="P517" i="2" s="1"/>
  <c r="Q518" i="2"/>
  <c r="P518" i="2" s="1"/>
  <c r="Q519" i="2"/>
  <c r="Q520" i="2"/>
  <c r="P520" i="2" s="1"/>
  <c r="Q521" i="2"/>
  <c r="P521" i="2" s="1"/>
  <c r="Q522" i="2"/>
  <c r="Q523" i="2"/>
  <c r="P523" i="2" s="1"/>
  <c r="Q524" i="2"/>
  <c r="P524" i="2" s="1"/>
  <c r="Q525" i="2"/>
  <c r="P525" i="2" s="1"/>
  <c r="Q526" i="2"/>
  <c r="P526" i="2" s="1"/>
  <c r="Q527" i="2"/>
  <c r="Q528" i="2"/>
  <c r="P528" i="2" s="1"/>
  <c r="Q529" i="2"/>
  <c r="P529" i="2" s="1"/>
  <c r="Q530" i="2"/>
  <c r="P530" i="2" s="1"/>
  <c r="Q531" i="2"/>
  <c r="P531" i="2" s="1"/>
  <c r="Q532" i="2"/>
  <c r="P532" i="2" s="1"/>
  <c r="Q533" i="2"/>
  <c r="P533" i="2" s="1"/>
  <c r="Q534" i="2"/>
  <c r="Q535" i="2"/>
  <c r="P535" i="2" s="1"/>
  <c r="Q536" i="2"/>
  <c r="P536" i="2" s="1"/>
  <c r="Q537" i="2"/>
  <c r="P537" i="2" s="1"/>
  <c r="Q538" i="2"/>
  <c r="P538" i="2" s="1"/>
  <c r="Q539" i="2"/>
  <c r="Q540" i="2"/>
  <c r="P540" i="2" s="1"/>
  <c r="Q541" i="2"/>
  <c r="P541" i="2" s="1"/>
  <c r="Q542" i="2"/>
  <c r="P542" i="2" s="1"/>
  <c r="Q543" i="2"/>
  <c r="P543" i="2" s="1"/>
  <c r="Q544" i="2"/>
  <c r="P544" i="2" s="1"/>
  <c r="Q545" i="2"/>
  <c r="Q546" i="2"/>
  <c r="P546" i="2" s="1"/>
  <c r="Q547" i="2"/>
  <c r="P547" i="2" s="1"/>
  <c r="Q548" i="2"/>
  <c r="P548" i="2" s="1"/>
  <c r="Q549" i="2"/>
  <c r="P549" i="2" s="1"/>
  <c r="Q550" i="2"/>
  <c r="Q551" i="2"/>
  <c r="P551" i="2" s="1"/>
  <c r="Q552" i="2"/>
  <c r="P552" i="2" s="1"/>
  <c r="Q553" i="2"/>
  <c r="Q554" i="2"/>
  <c r="Q555" i="2"/>
  <c r="P555" i="2" s="1"/>
  <c r="Q556" i="2"/>
  <c r="P556" i="2" s="1"/>
  <c r="Q557" i="2"/>
  <c r="P557" i="2" s="1"/>
  <c r="Q558" i="2"/>
  <c r="P558" i="2" s="1"/>
  <c r="Q559" i="2"/>
  <c r="P559" i="2" s="1"/>
  <c r="Q560" i="2"/>
  <c r="P560" i="2" s="1"/>
  <c r="Q561" i="2"/>
  <c r="Q562" i="2"/>
  <c r="P562" i="2" s="1"/>
  <c r="Q563" i="2"/>
  <c r="Q564" i="2"/>
  <c r="Q565" i="2"/>
  <c r="Q566" i="2"/>
  <c r="Q567" i="2"/>
  <c r="P567" i="2" s="1"/>
  <c r="Q568" i="2"/>
  <c r="P568" i="2" s="1"/>
  <c r="Q569" i="2"/>
  <c r="Q570" i="2"/>
  <c r="P570" i="2" s="1"/>
  <c r="Q571" i="2"/>
  <c r="P571" i="2" s="1"/>
  <c r="Q572" i="2"/>
  <c r="P572" i="2" s="1"/>
  <c r="Q573" i="2"/>
  <c r="P573" i="2" s="1"/>
  <c r="Q574" i="2"/>
  <c r="P574" i="2" s="1"/>
  <c r="Q575" i="2"/>
  <c r="P575" i="2" s="1"/>
  <c r="Q576" i="2"/>
  <c r="P576" i="2" s="1"/>
  <c r="Q577" i="2"/>
  <c r="P577" i="2" s="1"/>
  <c r="Q578" i="2"/>
  <c r="P578" i="2" s="1"/>
  <c r="Q579" i="2"/>
  <c r="P579" i="2" s="1"/>
  <c r="Q580" i="2"/>
  <c r="P580" i="2" s="1"/>
  <c r="Q581" i="2"/>
  <c r="P581" i="2" s="1"/>
  <c r="Q582" i="2"/>
  <c r="P582" i="2" s="1"/>
  <c r="Q583" i="2"/>
  <c r="P583" i="2" s="1"/>
  <c r="Q584" i="2"/>
  <c r="P584" i="2" s="1"/>
  <c r="Q585" i="2"/>
  <c r="P585" i="2" s="1"/>
  <c r="Q586" i="2"/>
  <c r="P586" i="2" s="1"/>
  <c r="Q587" i="2"/>
  <c r="P587" i="2" s="1"/>
  <c r="Q588" i="2"/>
  <c r="P588" i="2" s="1"/>
  <c r="Q589" i="2"/>
  <c r="P589" i="2" s="1"/>
  <c r="Q590" i="2"/>
  <c r="P590" i="2" s="1"/>
  <c r="Q591" i="2"/>
  <c r="P591" i="2" s="1"/>
  <c r="Q592" i="2"/>
  <c r="P592" i="2" s="1"/>
  <c r="Q593" i="2"/>
  <c r="P593" i="2" s="1"/>
  <c r="Q594" i="2"/>
  <c r="P594" i="2" s="1"/>
  <c r="Q595" i="2"/>
  <c r="P595" i="2" s="1"/>
  <c r="Q596" i="2"/>
  <c r="P596" i="2" s="1"/>
  <c r="Q597" i="2"/>
  <c r="P597" i="2" s="1"/>
  <c r="Q598" i="2"/>
  <c r="P598" i="2" s="1"/>
  <c r="Q599" i="2"/>
  <c r="P599" i="2" s="1"/>
  <c r="Q600" i="2"/>
  <c r="P600" i="2" s="1"/>
  <c r="Q601" i="2"/>
  <c r="P601" i="2" s="1"/>
  <c r="Q602" i="2"/>
  <c r="P602" i="2" s="1"/>
  <c r="Q603" i="2"/>
  <c r="P603" i="2" s="1"/>
  <c r="Q604" i="2"/>
  <c r="P604" i="2" s="1"/>
  <c r="Q605" i="2"/>
  <c r="P605" i="2" s="1"/>
  <c r="Q606" i="2"/>
  <c r="P606" i="2" s="1"/>
  <c r="Q607" i="2"/>
  <c r="P607" i="2" s="1"/>
  <c r="Q608" i="2"/>
  <c r="P608" i="2" s="1"/>
  <c r="Q609" i="2"/>
  <c r="P609" i="2" s="1"/>
  <c r="Q610" i="2"/>
  <c r="P610" i="2" s="1"/>
  <c r="Q611" i="2"/>
  <c r="Q612" i="2"/>
  <c r="P612" i="2" s="1"/>
  <c r="Q613" i="2"/>
  <c r="Q614" i="2"/>
  <c r="Q615" i="2"/>
  <c r="P615" i="2" s="1"/>
  <c r="Q616" i="2"/>
  <c r="Q617" i="2"/>
  <c r="P617" i="2" s="1"/>
  <c r="Q618" i="2"/>
  <c r="P618" i="2" s="1"/>
  <c r="Q619" i="2"/>
  <c r="Q620" i="2"/>
  <c r="P620" i="2" s="1"/>
  <c r="Q621" i="2"/>
  <c r="P621" i="2" s="1"/>
  <c r="Q622" i="2"/>
  <c r="Q623" i="2"/>
  <c r="Q624" i="2"/>
  <c r="P624" i="2" s="1"/>
  <c r="Q625" i="2"/>
  <c r="P625" i="2" s="1"/>
  <c r="Q626" i="2"/>
  <c r="P626" i="2" s="1"/>
  <c r="Q627" i="2"/>
  <c r="P627" i="2" s="1"/>
  <c r="Q628" i="2"/>
  <c r="P628" i="2" s="1"/>
  <c r="Q629" i="2"/>
  <c r="Q630" i="2"/>
  <c r="P630" i="2" s="1"/>
  <c r="Q631" i="2"/>
  <c r="Q632" i="2"/>
  <c r="P632" i="2" s="1"/>
  <c r="Q633" i="2"/>
  <c r="P633" i="2" s="1"/>
  <c r="Q634" i="2"/>
  <c r="P634" i="2" s="1"/>
  <c r="Q635" i="2"/>
  <c r="Q636" i="2"/>
  <c r="Q637" i="2"/>
  <c r="Q638" i="2"/>
  <c r="P638" i="2" s="1"/>
  <c r="Q639" i="2"/>
  <c r="P639" i="2" s="1"/>
  <c r="Q640" i="2"/>
  <c r="Q641" i="2"/>
  <c r="P641" i="2" s="1"/>
  <c r="Q642" i="2"/>
  <c r="Q643" i="2"/>
  <c r="P643" i="2" s="1"/>
  <c r="Q644" i="2"/>
  <c r="Q645" i="2"/>
  <c r="P645" i="2" s="1"/>
  <c r="Q646" i="2"/>
  <c r="P646" i="2" s="1"/>
  <c r="Q647" i="2"/>
  <c r="P647" i="2" s="1"/>
  <c r="Q648" i="2"/>
  <c r="P648" i="2" s="1"/>
  <c r="Q649" i="2"/>
  <c r="Q650" i="2"/>
  <c r="P650" i="2" s="1"/>
  <c r="Q651" i="2"/>
  <c r="P651" i="2" s="1"/>
  <c r="Q652" i="2"/>
  <c r="P652" i="2" s="1"/>
  <c r="Q653" i="2"/>
  <c r="P653" i="2" s="1"/>
  <c r="Q654" i="2"/>
  <c r="P654" i="2" s="1"/>
  <c r="Q655" i="2"/>
  <c r="Q656" i="2"/>
  <c r="P656" i="2" s="1"/>
  <c r="Q657" i="2"/>
  <c r="P657" i="2" s="1"/>
  <c r="Q658" i="2"/>
  <c r="P658" i="2" s="1"/>
  <c r="Q659" i="2"/>
  <c r="P659" i="2" s="1"/>
  <c r="Q660" i="2"/>
  <c r="P660" i="2" s="1"/>
  <c r="Q661" i="2"/>
  <c r="P661" i="2" s="1"/>
  <c r="Q662" i="2"/>
  <c r="Q663" i="2"/>
  <c r="Q664" i="2"/>
  <c r="P664" i="2" s="1"/>
  <c r="Q665" i="2"/>
  <c r="P665" i="2" s="1"/>
  <c r="Q666" i="2"/>
  <c r="P666" i="2" s="1"/>
  <c r="Q667" i="2"/>
  <c r="P667" i="2" s="1"/>
  <c r="Q668" i="2"/>
  <c r="P668" i="2" s="1"/>
  <c r="Q669" i="2"/>
  <c r="P669" i="2" s="1"/>
  <c r="Q670" i="2"/>
  <c r="P670" i="2" s="1"/>
  <c r="Q671" i="2"/>
  <c r="Q672" i="2"/>
  <c r="P672" i="2" s="1"/>
  <c r="Q673" i="2"/>
  <c r="Q674" i="2"/>
  <c r="P674" i="2" s="1"/>
  <c r="Q675" i="2"/>
  <c r="P675" i="2" s="1"/>
  <c r="Q676" i="2"/>
  <c r="P676" i="2" s="1"/>
  <c r="Q677" i="2"/>
  <c r="P677" i="2" s="1"/>
  <c r="Q678" i="2"/>
  <c r="Q679" i="2"/>
  <c r="P679" i="2" s="1"/>
  <c r="Q680" i="2"/>
  <c r="P680" i="2" s="1"/>
  <c r="Q681" i="2"/>
  <c r="P681" i="2" s="1"/>
  <c r="Q682" i="2"/>
  <c r="P682" i="2" s="1"/>
  <c r="Q683" i="2"/>
  <c r="P683" i="2" s="1"/>
  <c r="Q684" i="2"/>
  <c r="Q685" i="2"/>
  <c r="P685" i="2" s="1"/>
  <c r="Q686" i="2"/>
  <c r="P686" i="2" s="1"/>
  <c r="Q687" i="2"/>
  <c r="P687" i="2" s="1"/>
  <c r="Q688" i="2"/>
  <c r="Q689" i="2"/>
  <c r="P689" i="2" s="1"/>
  <c r="Q690" i="2"/>
  <c r="P690" i="2" s="1"/>
  <c r="Q691" i="2"/>
  <c r="Q692" i="2"/>
  <c r="Q693" i="2"/>
  <c r="P693" i="2" s="1"/>
  <c r="Q694" i="2"/>
  <c r="P694" i="2" s="1"/>
  <c r="Q695" i="2"/>
  <c r="P695" i="2" s="1"/>
  <c r="Q696" i="2"/>
  <c r="P696" i="2" s="1"/>
  <c r="Q697" i="2"/>
  <c r="P697" i="2" s="1"/>
  <c r="Q698" i="2"/>
  <c r="P698" i="2" s="1"/>
  <c r="Q699" i="2"/>
  <c r="P699" i="2" s="1"/>
  <c r="Q700" i="2"/>
  <c r="P700" i="2" s="1"/>
  <c r="Q701" i="2"/>
  <c r="P701" i="2" s="1"/>
  <c r="P69" i="2"/>
  <c r="P70" i="2"/>
  <c r="P71" i="2"/>
  <c r="P73" i="2"/>
  <c r="P74" i="2"/>
  <c r="P76" i="2"/>
  <c r="P79" i="2"/>
  <c r="P82" i="2"/>
  <c r="P83" i="2"/>
  <c r="P84" i="2"/>
  <c r="P86" i="2"/>
  <c r="P88" i="2"/>
  <c r="P89" i="2"/>
  <c r="P90" i="2"/>
  <c r="P91" i="2"/>
  <c r="P92" i="2"/>
  <c r="P93" i="2"/>
  <c r="P94" i="2"/>
  <c r="P95" i="2"/>
  <c r="Q3" i="2"/>
  <c r="P3" i="2" s="1"/>
  <c r="Q4" i="2"/>
  <c r="P4" i="2" s="1"/>
  <c r="Q5" i="2"/>
  <c r="P5" i="2" s="1"/>
  <c r="Q6" i="2"/>
  <c r="P6" i="2" s="1"/>
  <c r="Q7" i="2"/>
  <c r="P7" i="2" s="1"/>
  <c r="Q8" i="2"/>
  <c r="P8" i="2" s="1"/>
  <c r="Q9" i="2"/>
  <c r="P9" i="2" s="1"/>
  <c r="Q10" i="2"/>
  <c r="P10" i="2" s="1"/>
  <c r="Q11" i="2"/>
  <c r="P11" i="2" s="1"/>
  <c r="Q12" i="2"/>
  <c r="P12" i="2" s="1"/>
  <c r="Q13" i="2"/>
  <c r="P13" i="2" s="1"/>
  <c r="Q14" i="2"/>
  <c r="P14" i="2" s="1"/>
  <c r="Q15" i="2"/>
  <c r="P15" i="2" s="1"/>
  <c r="Q16" i="2"/>
  <c r="P16" i="2" s="1"/>
  <c r="Q17" i="2"/>
  <c r="P17" i="2" s="1"/>
  <c r="Q18" i="2"/>
  <c r="P18" i="2" s="1"/>
  <c r="Q19" i="2"/>
  <c r="P19" i="2" s="1"/>
  <c r="Q20" i="2"/>
  <c r="P20" i="2" s="1"/>
  <c r="Q21" i="2"/>
  <c r="P21" i="2" s="1"/>
  <c r="Q22" i="2"/>
  <c r="P22" i="2" s="1"/>
  <c r="Q23" i="2"/>
  <c r="P23" i="2" s="1"/>
  <c r="Q24" i="2"/>
  <c r="P24" i="2" s="1"/>
  <c r="Q25" i="2"/>
  <c r="P25" i="2" s="1"/>
  <c r="Q26" i="2"/>
  <c r="P26" i="2" s="1"/>
  <c r="Q27" i="2"/>
  <c r="P27" i="2" s="1"/>
  <c r="Q28" i="2"/>
  <c r="P28" i="2" s="1"/>
  <c r="Q29" i="2"/>
  <c r="P29" i="2" s="1"/>
  <c r="Q30" i="2"/>
  <c r="P30" i="2" s="1"/>
  <c r="Q31" i="2"/>
  <c r="P31" i="2" s="1"/>
  <c r="Q32" i="2"/>
  <c r="P32" i="2" s="1"/>
  <c r="Q33" i="2"/>
  <c r="P33" i="2" s="1"/>
  <c r="Q34" i="2"/>
  <c r="P34" i="2" s="1"/>
  <c r="Q2" i="2"/>
  <c r="P2" i="2" s="1"/>
  <c r="O3" i="2"/>
  <c r="O6" i="2"/>
  <c r="O7" i="2"/>
  <c r="O11" i="2"/>
  <c r="O12" i="2"/>
  <c r="O18" i="2"/>
  <c r="O19" i="2"/>
  <c r="O20" i="2"/>
  <c r="O21" i="2"/>
  <c r="O22" i="2"/>
  <c r="O23" i="2"/>
  <c r="O28" i="2"/>
  <c r="O29" i="2"/>
  <c r="O30" i="2"/>
  <c r="O32" i="2"/>
  <c r="O33" i="2"/>
  <c r="O34" i="2"/>
  <c r="O39" i="2"/>
  <c r="O40" i="2"/>
  <c r="O41" i="2"/>
  <c r="O42" i="2"/>
  <c r="O43" i="2"/>
  <c r="O47" i="2"/>
  <c r="O48" i="2"/>
  <c r="O50" i="2"/>
  <c r="O53" i="2"/>
  <c r="O55" i="2"/>
  <c r="O57" i="2"/>
  <c r="O61" i="2"/>
  <c r="O62" i="2"/>
  <c r="O64" i="2"/>
  <c r="O69" i="2"/>
  <c r="O70" i="2"/>
  <c r="O71" i="2"/>
  <c r="O83" i="2"/>
  <c r="O86" i="2"/>
  <c r="O88" i="2"/>
  <c r="O89" i="2"/>
  <c r="O90" i="2"/>
  <c r="O91" i="2"/>
  <c r="O92" i="2"/>
  <c r="O93" i="2"/>
  <c r="O94" i="2"/>
  <c r="O97" i="2"/>
  <c r="O99" i="2"/>
  <c r="O102" i="2"/>
  <c r="O103" i="2"/>
  <c r="O104" i="2"/>
  <c r="O105" i="2"/>
  <c r="O106" i="2"/>
  <c r="O107" i="2"/>
  <c r="O108" i="2"/>
  <c r="O109" i="2"/>
  <c r="O110" i="2"/>
  <c r="O116" i="2"/>
  <c r="O119" i="2"/>
  <c r="O120" i="2"/>
  <c r="O122" i="2"/>
  <c r="O123" i="2"/>
  <c r="O125" i="2"/>
  <c r="O126" i="2"/>
  <c r="O129" i="2"/>
  <c r="O132" i="2"/>
  <c r="O133" i="2"/>
  <c r="O138" i="2"/>
  <c r="O141" i="2"/>
  <c r="O142" i="2"/>
  <c r="O148" i="2"/>
  <c r="O150" i="2"/>
  <c r="O151" i="2"/>
  <c r="O153" i="2"/>
  <c r="O154" i="2"/>
  <c r="O155" i="2"/>
  <c r="O164" i="2"/>
  <c r="O166" i="2"/>
  <c r="O167" i="2"/>
  <c r="O169" i="2"/>
  <c r="O173" i="2"/>
  <c r="O175" i="2"/>
  <c r="O178" i="2"/>
  <c r="O180" i="2"/>
  <c r="O181" i="2"/>
  <c r="O184" i="2"/>
  <c r="O185" i="2"/>
  <c r="O186" i="2"/>
  <c r="O187" i="2"/>
  <c r="O188" i="2"/>
  <c r="O189" i="2"/>
  <c r="O191" i="2"/>
  <c r="O193" i="2"/>
  <c r="O194" i="2"/>
  <c r="O195" i="2"/>
  <c r="O198" i="2"/>
  <c r="O199" i="2"/>
  <c r="O204" i="2"/>
  <c r="O205" i="2"/>
  <c r="O206" i="2"/>
  <c r="O207" i="2"/>
  <c r="O208" i="2"/>
  <c r="O210" i="2"/>
  <c r="O211" i="2"/>
  <c r="O212" i="2"/>
  <c r="O213" i="2"/>
  <c r="O216" i="2"/>
  <c r="O219" i="2"/>
  <c r="O220" i="2"/>
  <c r="O223" i="2"/>
  <c r="O225" i="2"/>
  <c r="O226" i="2"/>
  <c r="O227" i="2"/>
  <c r="O232" i="2"/>
  <c r="O233" i="2"/>
  <c r="O235" i="2"/>
  <c r="O238" i="2"/>
  <c r="O239" i="2"/>
  <c r="O245" i="2"/>
  <c r="O252" i="2"/>
  <c r="O253" i="2"/>
  <c r="O254" i="2"/>
  <c r="O255" i="2"/>
  <c r="O256" i="2"/>
  <c r="O260" i="2"/>
  <c r="O264" i="2"/>
  <c r="O265" i="2"/>
  <c r="O266" i="2"/>
  <c r="O267" i="2"/>
  <c r="O271" i="2"/>
  <c r="O272" i="2"/>
  <c r="O275" i="2"/>
  <c r="O278" i="2"/>
  <c r="O281" i="2"/>
  <c r="O282" i="2"/>
  <c r="O284" i="2"/>
  <c r="O287" i="2"/>
  <c r="O289" i="2"/>
  <c r="O290" i="2"/>
  <c r="O292" i="2"/>
  <c r="O295" i="2"/>
  <c r="O296" i="2"/>
  <c r="O297" i="2"/>
  <c r="O300" i="2"/>
  <c r="O301" i="2"/>
  <c r="O302" i="2"/>
  <c r="O303" i="2"/>
  <c r="O305" i="2"/>
  <c r="O306" i="2"/>
  <c r="O307" i="2"/>
  <c r="O312" i="2"/>
  <c r="O314" i="2"/>
  <c r="O315" i="2"/>
  <c r="O316" i="2"/>
  <c r="O319" i="2"/>
  <c r="O321" i="2"/>
  <c r="O323" i="2"/>
  <c r="O325" i="2"/>
  <c r="O327" i="2"/>
  <c r="O328" i="2"/>
  <c r="O332" i="2"/>
  <c r="O337" i="2"/>
  <c r="O338" i="2"/>
  <c r="O340" i="2"/>
  <c r="O341" i="2"/>
  <c r="O342" i="2"/>
  <c r="O344" i="2"/>
  <c r="O346" i="2"/>
  <c r="O347" i="2"/>
  <c r="O351" i="2"/>
  <c r="O352" i="2"/>
  <c r="O354" i="2"/>
  <c r="O355" i="2"/>
  <c r="O358" i="2"/>
  <c r="O360" i="2"/>
  <c r="O361" i="2"/>
  <c r="O362" i="2"/>
  <c r="O364" i="2"/>
  <c r="O367" i="2"/>
  <c r="O370" i="2"/>
  <c r="O371" i="2"/>
  <c r="O372" i="2"/>
  <c r="O373" i="2"/>
  <c r="O374" i="2"/>
  <c r="O375" i="2"/>
  <c r="O376" i="2"/>
  <c r="O377" i="2"/>
  <c r="O383" i="2"/>
  <c r="O386" i="2"/>
  <c r="O389" i="2"/>
  <c r="O390" i="2"/>
  <c r="O392" i="2"/>
  <c r="O395" i="2"/>
  <c r="O396" i="2"/>
  <c r="O399" i="2"/>
  <c r="O400" i="2"/>
  <c r="O401" i="2"/>
  <c r="O403" i="2"/>
  <c r="O406" i="2"/>
  <c r="O409" i="2"/>
  <c r="O413" i="2"/>
  <c r="O414" i="2"/>
  <c r="O418" i="2"/>
  <c r="O419" i="2"/>
  <c r="O420" i="2"/>
  <c r="O423" i="2"/>
  <c r="O424" i="2"/>
  <c r="O425" i="2"/>
  <c r="O426" i="2"/>
  <c r="O427" i="2"/>
  <c r="O428" i="2"/>
  <c r="O431" i="2"/>
  <c r="O432" i="2"/>
  <c r="O435" i="2"/>
  <c r="O438" i="2"/>
  <c r="O439" i="2"/>
  <c r="O440" i="2"/>
  <c r="O441" i="2"/>
  <c r="O442" i="2"/>
  <c r="O445" i="2"/>
  <c r="O451" i="2"/>
  <c r="O453" i="2"/>
  <c r="O454" i="2"/>
  <c r="O457" i="2"/>
  <c r="O458" i="2"/>
  <c r="O459" i="2"/>
  <c r="O460" i="2"/>
  <c r="O462" i="2"/>
  <c r="O463" i="2"/>
  <c r="O464" i="2"/>
  <c r="O465" i="2"/>
  <c r="O468" i="2"/>
  <c r="O470" i="2"/>
  <c r="O473" i="2"/>
  <c r="O476" i="2"/>
  <c r="O477" i="2"/>
  <c r="O478" i="2"/>
  <c r="O479" i="2"/>
  <c r="O480" i="2"/>
  <c r="O481" i="2"/>
  <c r="O486" i="2"/>
  <c r="O491" i="2"/>
  <c r="O495" i="2"/>
  <c r="O496" i="2"/>
  <c r="O500" i="2"/>
  <c r="O506" i="2"/>
  <c r="O508" i="2"/>
  <c r="O509" i="2"/>
  <c r="O510" i="2"/>
  <c r="O512" i="2"/>
  <c r="O515" i="2"/>
  <c r="O517" i="2"/>
  <c r="O524" i="2"/>
  <c r="O525" i="2"/>
  <c r="O526" i="2"/>
  <c r="O529" i="2"/>
  <c r="O530" i="2"/>
  <c r="O533" i="2"/>
  <c r="O535" i="2"/>
  <c r="O536" i="2"/>
  <c r="O537" i="2"/>
  <c r="O538" i="2"/>
  <c r="O540" i="2"/>
  <c r="O541" i="2"/>
  <c r="O543" i="2"/>
  <c r="O547" i="2"/>
  <c r="O548" i="2"/>
  <c r="O551" i="2"/>
  <c r="O555" i="2"/>
  <c r="O556" i="2"/>
  <c r="O557" i="2"/>
  <c r="O558" i="2"/>
  <c r="O559" i="2"/>
  <c r="O560" i="2"/>
  <c r="O562" i="2"/>
  <c r="O567" i="2"/>
  <c r="O568" i="2"/>
  <c r="O571" i="2"/>
  <c r="O572" i="2"/>
  <c r="O573" i="2"/>
  <c r="O578" i="2"/>
  <c r="O580" i="2"/>
  <c r="O581" i="2"/>
  <c r="O585" i="2"/>
  <c r="O587" i="2"/>
  <c r="O588" i="2"/>
  <c r="O593" i="2"/>
  <c r="O597" i="2"/>
  <c r="O599" i="2"/>
  <c r="O600" i="2"/>
  <c r="O604" i="2"/>
  <c r="O607" i="2"/>
  <c r="O608" i="2"/>
  <c r="O615" i="2"/>
  <c r="O617" i="2"/>
  <c r="O624" i="2"/>
  <c r="O625" i="2"/>
  <c r="O626" i="2"/>
  <c r="O627" i="2"/>
  <c r="O630" i="2"/>
  <c r="O632" i="2"/>
  <c r="O633" i="2"/>
  <c r="O634" i="2"/>
  <c r="O638" i="2"/>
  <c r="O639" i="2"/>
  <c r="O641" i="2"/>
  <c r="O643" i="2"/>
  <c r="O645" i="2"/>
  <c r="O646" i="2"/>
  <c r="O650" i="2"/>
  <c r="O651" i="2"/>
  <c r="O652" i="2"/>
  <c r="O654" i="2"/>
  <c r="O657" i="2"/>
  <c r="O658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3" i="2"/>
  <c r="O696" i="2"/>
  <c r="O697" i="2"/>
  <c r="O698" i="2"/>
  <c r="O699" i="2"/>
  <c r="O2" i="2"/>
  <c r="G3" i="2"/>
  <c r="G4" i="2"/>
  <c r="G5" i="2"/>
  <c r="O5" i="2" s="1"/>
  <c r="G6" i="2"/>
  <c r="G7" i="2"/>
  <c r="G8" i="2"/>
  <c r="O8" i="2" s="1"/>
  <c r="G9" i="2"/>
  <c r="G10" i="2"/>
  <c r="O10" i="2" s="1"/>
  <c r="G11" i="2"/>
  <c r="G12" i="2"/>
  <c r="G13" i="2"/>
  <c r="G14" i="2"/>
  <c r="G15" i="2"/>
  <c r="G16" i="2"/>
  <c r="O16" i="2" s="1"/>
  <c r="G17" i="2"/>
  <c r="O17" i="2" s="1"/>
  <c r="G18" i="2"/>
  <c r="G19" i="2"/>
  <c r="G20" i="2"/>
  <c r="G21" i="2"/>
  <c r="G22" i="2"/>
  <c r="G23" i="2"/>
  <c r="G24" i="2"/>
  <c r="G25" i="2"/>
  <c r="G26" i="2"/>
  <c r="O26" i="2" s="1"/>
  <c r="G27" i="2"/>
  <c r="O27" i="2" s="1"/>
  <c r="G28" i="2"/>
  <c r="G29" i="2"/>
  <c r="G30" i="2"/>
  <c r="G31" i="2"/>
  <c r="O31" i="2" s="1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O44" i="2" s="1"/>
  <c r="G45" i="2"/>
  <c r="G46" i="2"/>
  <c r="G47" i="2"/>
  <c r="G48" i="2"/>
  <c r="G49" i="2"/>
  <c r="O49" i="2" s="1"/>
  <c r="G50" i="2"/>
  <c r="G51" i="2"/>
  <c r="G52" i="2"/>
  <c r="O52" i="2" s="1"/>
  <c r="G53" i="2"/>
  <c r="G54" i="2"/>
  <c r="G55" i="2"/>
  <c r="G56" i="2"/>
  <c r="G57" i="2"/>
  <c r="G58" i="2"/>
  <c r="O58" i="2" s="1"/>
  <c r="G59" i="2"/>
  <c r="G60" i="2"/>
  <c r="G61" i="2"/>
  <c r="G62" i="2"/>
  <c r="G63" i="2"/>
  <c r="O63" i="2" s="1"/>
  <c r="G64" i="2"/>
  <c r="G65" i="2"/>
  <c r="O65" i="2" s="1"/>
  <c r="G66" i="2"/>
  <c r="G67" i="2"/>
  <c r="G68" i="2"/>
  <c r="G69" i="2"/>
  <c r="G70" i="2"/>
  <c r="G71" i="2"/>
  <c r="G72" i="2"/>
  <c r="G73" i="2"/>
  <c r="O73" i="2" s="1"/>
  <c r="G74" i="2"/>
  <c r="O74" i="2" s="1"/>
  <c r="G75" i="2"/>
  <c r="G76" i="2"/>
  <c r="O76" i="2" s="1"/>
  <c r="G77" i="2"/>
  <c r="G78" i="2"/>
  <c r="G79" i="2"/>
  <c r="O79" i="2" s="1"/>
  <c r="G80" i="2"/>
  <c r="G81" i="2"/>
  <c r="G82" i="2"/>
  <c r="O82" i="2" s="1"/>
  <c r="G83" i="2"/>
  <c r="G84" i="2"/>
  <c r="O84" i="2" s="1"/>
  <c r="G85" i="2"/>
  <c r="G86" i="2"/>
  <c r="G87" i="2"/>
  <c r="G88" i="2"/>
  <c r="G89" i="2"/>
  <c r="G90" i="2"/>
  <c r="G91" i="2"/>
  <c r="G92" i="2"/>
  <c r="G93" i="2"/>
  <c r="G94" i="2"/>
  <c r="G95" i="2"/>
  <c r="O95" i="2" s="1"/>
  <c r="G96" i="2"/>
  <c r="O96" i="2" s="1"/>
  <c r="G97" i="2"/>
  <c r="G98" i="2"/>
  <c r="G99" i="2"/>
  <c r="G100" i="2"/>
  <c r="G101" i="2"/>
  <c r="O101" i="2" s="1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O114" i="2" s="1"/>
  <c r="G115" i="2"/>
  <c r="G116" i="2"/>
  <c r="G117" i="2"/>
  <c r="O117" i="2" s="1"/>
  <c r="G118" i="2"/>
  <c r="G119" i="2"/>
  <c r="G120" i="2"/>
  <c r="G121" i="2"/>
  <c r="G122" i="2"/>
  <c r="G123" i="2"/>
  <c r="G124" i="2"/>
  <c r="O124" i="2" s="1"/>
  <c r="G125" i="2"/>
  <c r="G126" i="2"/>
  <c r="G127" i="2"/>
  <c r="R127" i="2" s="1"/>
  <c r="G128" i="2"/>
  <c r="R128" i="2" s="1"/>
  <c r="G129" i="2"/>
  <c r="G130" i="2"/>
  <c r="R130" i="2" s="1"/>
  <c r="G131" i="2"/>
  <c r="R131" i="2" s="1"/>
  <c r="G132" i="2"/>
  <c r="G133" i="2"/>
  <c r="G134" i="2"/>
  <c r="R134" i="2" s="1"/>
  <c r="G135" i="2"/>
  <c r="R135" i="2" s="1"/>
  <c r="G136" i="2"/>
  <c r="R136" i="2" s="1"/>
  <c r="G137" i="2"/>
  <c r="O137" i="2" s="1"/>
  <c r="G138" i="2"/>
  <c r="G139" i="2"/>
  <c r="O139" i="2" s="1"/>
  <c r="G140" i="2"/>
  <c r="R140" i="2" s="1"/>
  <c r="G141" i="2"/>
  <c r="G142" i="2"/>
  <c r="G143" i="2"/>
  <c r="O143" i="2" s="1"/>
  <c r="G144" i="2"/>
  <c r="R144" i="2" s="1"/>
  <c r="G145" i="2"/>
  <c r="R145" i="2" s="1"/>
  <c r="G146" i="2"/>
  <c r="O146" i="2" s="1"/>
  <c r="G147" i="2"/>
  <c r="R147" i="2" s="1"/>
  <c r="G148" i="2"/>
  <c r="G149" i="2"/>
  <c r="R149" i="2" s="1"/>
  <c r="G150" i="2"/>
  <c r="G151" i="2"/>
  <c r="G152" i="2"/>
  <c r="O152" i="2" s="1"/>
  <c r="G153" i="2"/>
  <c r="G154" i="2"/>
  <c r="G155" i="2"/>
  <c r="G156" i="2"/>
  <c r="O156" i="2" s="1"/>
  <c r="G157" i="2"/>
  <c r="R157" i="2" s="1"/>
  <c r="G158" i="2"/>
  <c r="O158" i="2" s="1"/>
  <c r="G159" i="2"/>
  <c r="R159" i="2" s="1"/>
  <c r="G160" i="2"/>
  <c r="O160" i="2" s="1"/>
  <c r="G161" i="2"/>
  <c r="R161" i="2" s="1"/>
  <c r="G162" i="2"/>
  <c r="R162" i="2" s="1"/>
  <c r="G163" i="2"/>
  <c r="R163" i="2" s="1"/>
  <c r="G164" i="2"/>
  <c r="G165" i="2"/>
  <c r="R165" i="2" s="1"/>
  <c r="G166" i="2"/>
  <c r="G167" i="2"/>
  <c r="G168" i="2"/>
  <c r="O168" i="2" s="1"/>
  <c r="G169" i="2"/>
  <c r="G170" i="2"/>
  <c r="R170" i="2" s="1"/>
  <c r="G171" i="2"/>
  <c r="O171" i="2" s="1"/>
  <c r="G172" i="2"/>
  <c r="R172" i="2" s="1"/>
  <c r="G173" i="2"/>
  <c r="G174" i="2"/>
  <c r="R174" i="2" s="1"/>
  <c r="G175" i="2"/>
  <c r="G176" i="2"/>
  <c r="O176" i="2" s="1"/>
  <c r="G177" i="2"/>
  <c r="T177" i="2" s="1"/>
  <c r="G178" i="2"/>
  <c r="G179" i="2"/>
  <c r="T179" i="2" s="1"/>
  <c r="G180" i="2"/>
  <c r="G181" i="2"/>
  <c r="G182" i="2"/>
  <c r="O182" i="2" s="1"/>
  <c r="G183" i="2"/>
  <c r="O183" i="2" s="1"/>
  <c r="G184" i="2"/>
  <c r="G185" i="2"/>
  <c r="G186" i="2"/>
  <c r="G187" i="2"/>
  <c r="G188" i="2"/>
  <c r="G189" i="2"/>
  <c r="G190" i="2"/>
  <c r="T190" i="2" s="1"/>
  <c r="G191" i="2"/>
  <c r="G192" i="2"/>
  <c r="T192" i="2" s="1"/>
  <c r="G193" i="2"/>
  <c r="G194" i="2"/>
  <c r="G195" i="2"/>
  <c r="G196" i="2"/>
  <c r="O196" i="2" s="1"/>
  <c r="G197" i="2"/>
  <c r="T197" i="2" s="1"/>
  <c r="G198" i="2"/>
  <c r="G199" i="2"/>
  <c r="G200" i="2"/>
  <c r="T200" i="2" s="1"/>
  <c r="G201" i="2"/>
  <c r="O201" i="2" s="1"/>
  <c r="G202" i="2"/>
  <c r="O202" i="2" s="1"/>
  <c r="G203" i="2"/>
  <c r="O203" i="2" s="1"/>
  <c r="G204" i="2"/>
  <c r="G205" i="2"/>
  <c r="G206" i="2"/>
  <c r="G207" i="2"/>
  <c r="G208" i="2"/>
  <c r="G209" i="2"/>
  <c r="O209" i="2" s="1"/>
  <c r="G210" i="2"/>
  <c r="G211" i="2"/>
  <c r="G212" i="2"/>
  <c r="G213" i="2"/>
  <c r="G214" i="2"/>
  <c r="O214" i="2" s="1"/>
  <c r="G215" i="2"/>
  <c r="T215" i="2" s="1"/>
  <c r="G216" i="2"/>
  <c r="G217" i="2"/>
  <c r="O217" i="2" s="1"/>
  <c r="G218" i="2"/>
  <c r="O218" i="2" s="1"/>
  <c r="G219" i="2"/>
  <c r="G220" i="2"/>
  <c r="G221" i="2"/>
  <c r="O221" i="2" s="1"/>
  <c r="G222" i="2"/>
  <c r="T222" i="2" s="1"/>
  <c r="G223" i="2"/>
  <c r="G224" i="2"/>
  <c r="T224" i="2" s="1"/>
  <c r="G225" i="2"/>
  <c r="G226" i="2"/>
  <c r="G227" i="2"/>
  <c r="G228" i="2"/>
  <c r="T228" i="2" s="1"/>
  <c r="G229" i="2"/>
  <c r="O229" i="2" s="1"/>
  <c r="G230" i="2"/>
  <c r="T230" i="2" s="1"/>
  <c r="G231" i="2"/>
  <c r="O231" i="2" s="1"/>
  <c r="G232" i="2"/>
  <c r="G233" i="2"/>
  <c r="G234" i="2"/>
  <c r="O234" i="2" s="1"/>
  <c r="G235" i="2"/>
  <c r="G236" i="2"/>
  <c r="T236" i="2" s="1"/>
  <c r="G237" i="2"/>
  <c r="O237" i="2" s="1"/>
  <c r="G238" i="2"/>
  <c r="G239" i="2"/>
  <c r="G240" i="2"/>
  <c r="O240" i="2" s="1"/>
  <c r="G241" i="2"/>
  <c r="O241" i="2" s="1"/>
  <c r="G242" i="2"/>
  <c r="T242" i="2" s="1"/>
  <c r="G243" i="2"/>
  <c r="T243" i="2" s="1"/>
  <c r="G244" i="2"/>
  <c r="O244" i="2" s="1"/>
  <c r="G245" i="2"/>
  <c r="G246" i="2"/>
  <c r="O246" i="2" s="1"/>
  <c r="G247" i="2"/>
  <c r="T247" i="2" s="1"/>
  <c r="G248" i="2"/>
  <c r="T248" i="2" s="1"/>
  <c r="G249" i="2"/>
  <c r="T249" i="2" s="1"/>
  <c r="G250" i="2"/>
  <c r="T250" i="2" s="1"/>
  <c r="G251" i="2"/>
  <c r="O251" i="2" s="1"/>
  <c r="G252" i="2"/>
  <c r="G253" i="2"/>
  <c r="G254" i="2"/>
  <c r="G255" i="2"/>
  <c r="G256" i="2"/>
  <c r="G257" i="2"/>
  <c r="T257" i="2" s="1"/>
  <c r="G258" i="2"/>
  <c r="T258" i="2" s="1"/>
  <c r="G259" i="2"/>
  <c r="O259" i="2" s="1"/>
  <c r="G260" i="2"/>
  <c r="G261" i="2"/>
  <c r="T261" i="2" s="1"/>
  <c r="G262" i="2"/>
  <c r="O262" i="2" s="1"/>
  <c r="G263" i="2"/>
  <c r="O263" i="2" s="1"/>
  <c r="G264" i="2"/>
  <c r="G265" i="2"/>
  <c r="G266" i="2"/>
  <c r="G267" i="2"/>
  <c r="G268" i="2"/>
  <c r="G269" i="2"/>
  <c r="G270" i="2"/>
  <c r="G271" i="2"/>
  <c r="G272" i="2"/>
  <c r="G273" i="2"/>
  <c r="O273" i="2" s="1"/>
  <c r="G274" i="2"/>
  <c r="O274" i="2" s="1"/>
  <c r="G275" i="2"/>
  <c r="G276" i="2"/>
  <c r="O276" i="2" s="1"/>
  <c r="G277" i="2"/>
  <c r="G278" i="2"/>
  <c r="G279" i="2"/>
  <c r="O279" i="2" s="1"/>
  <c r="G280" i="2"/>
  <c r="G281" i="2"/>
  <c r="G282" i="2"/>
  <c r="G283" i="2"/>
  <c r="G284" i="2"/>
  <c r="G285" i="2"/>
  <c r="G286" i="2"/>
  <c r="G287" i="2"/>
  <c r="G288" i="2"/>
  <c r="O288" i="2" s="1"/>
  <c r="G289" i="2"/>
  <c r="G290" i="2"/>
  <c r="G291" i="2"/>
  <c r="G292" i="2"/>
  <c r="G293" i="2"/>
  <c r="O293" i="2" s="1"/>
  <c r="G294" i="2"/>
  <c r="G295" i="2"/>
  <c r="G296" i="2"/>
  <c r="G297" i="2"/>
  <c r="G298" i="2"/>
  <c r="G299" i="2"/>
  <c r="O299" i="2" s="1"/>
  <c r="G300" i="2"/>
  <c r="G301" i="2"/>
  <c r="G302" i="2"/>
  <c r="G303" i="2"/>
  <c r="G304" i="2"/>
  <c r="G305" i="2"/>
  <c r="G306" i="2"/>
  <c r="G307" i="2"/>
  <c r="G308" i="2"/>
  <c r="O308" i="2" s="1"/>
  <c r="G309" i="2"/>
  <c r="O309" i="2" s="1"/>
  <c r="G310" i="2"/>
  <c r="G311" i="2"/>
  <c r="G312" i="2"/>
  <c r="G313" i="2"/>
  <c r="G314" i="2"/>
  <c r="G315" i="2"/>
  <c r="G316" i="2"/>
  <c r="G317" i="2"/>
  <c r="O317" i="2" s="1"/>
  <c r="G318" i="2"/>
  <c r="G319" i="2"/>
  <c r="G320" i="2"/>
  <c r="O320" i="2" s="1"/>
  <c r="G321" i="2"/>
  <c r="G322" i="2"/>
  <c r="G323" i="2"/>
  <c r="G324" i="2"/>
  <c r="O324" i="2" s="1"/>
  <c r="G325" i="2"/>
  <c r="G326" i="2"/>
  <c r="G327" i="2"/>
  <c r="G328" i="2"/>
  <c r="G329" i="2"/>
  <c r="O329" i="2" s="1"/>
  <c r="G330" i="2"/>
  <c r="O330" i="2" s="1"/>
  <c r="G331" i="2"/>
  <c r="G332" i="2"/>
  <c r="G333" i="2"/>
  <c r="O333" i="2" s="1"/>
  <c r="G334" i="2"/>
  <c r="O334" i="2" s="1"/>
  <c r="G335" i="2"/>
  <c r="G336" i="2"/>
  <c r="G337" i="2"/>
  <c r="G338" i="2"/>
  <c r="G339" i="2"/>
  <c r="O339" i="2" s="1"/>
  <c r="G340" i="2"/>
  <c r="G341" i="2"/>
  <c r="G342" i="2"/>
  <c r="G343" i="2"/>
  <c r="O343" i="2" s="1"/>
  <c r="G344" i="2"/>
  <c r="G345" i="2"/>
  <c r="O345" i="2" s="1"/>
  <c r="G346" i="2"/>
  <c r="G347" i="2"/>
  <c r="G348" i="2"/>
  <c r="G349" i="2"/>
  <c r="O349" i="2" s="1"/>
  <c r="G350" i="2"/>
  <c r="G351" i="2"/>
  <c r="G352" i="2"/>
  <c r="G353" i="2"/>
  <c r="G354" i="2"/>
  <c r="G355" i="2"/>
  <c r="G356" i="2"/>
  <c r="G357" i="2"/>
  <c r="O357" i="2" s="1"/>
  <c r="G358" i="2"/>
  <c r="G359" i="2"/>
  <c r="G360" i="2"/>
  <c r="G361" i="2"/>
  <c r="G362" i="2"/>
  <c r="G363" i="2"/>
  <c r="G364" i="2"/>
  <c r="G365" i="2"/>
  <c r="O365" i="2" s="1"/>
  <c r="G366" i="2"/>
  <c r="O366" i="2" s="1"/>
  <c r="G367" i="2"/>
  <c r="G368" i="2"/>
  <c r="O368" i="2" s="1"/>
  <c r="G369" i="2"/>
  <c r="O369" i="2" s="1"/>
  <c r="G370" i="2"/>
  <c r="G371" i="2"/>
  <c r="G372" i="2"/>
  <c r="G373" i="2"/>
  <c r="G374" i="2"/>
  <c r="G375" i="2"/>
  <c r="G376" i="2"/>
  <c r="G377" i="2"/>
  <c r="G378" i="2"/>
  <c r="O378" i="2" s="1"/>
  <c r="G379" i="2"/>
  <c r="O379" i="2" s="1"/>
  <c r="G380" i="2"/>
  <c r="G381" i="2"/>
  <c r="O381" i="2" s="1"/>
  <c r="G382" i="2"/>
  <c r="O382" i="2" s="1"/>
  <c r="G383" i="2"/>
  <c r="G384" i="2"/>
  <c r="G385" i="2"/>
  <c r="O385" i="2" s="1"/>
  <c r="G386" i="2"/>
  <c r="G387" i="2"/>
  <c r="G388" i="2"/>
  <c r="G389" i="2"/>
  <c r="G390" i="2"/>
  <c r="G391" i="2"/>
  <c r="G392" i="2"/>
  <c r="G393" i="2"/>
  <c r="O393" i="2" s="1"/>
  <c r="G394" i="2"/>
  <c r="O394" i="2" s="1"/>
  <c r="G395" i="2"/>
  <c r="G396" i="2"/>
  <c r="G397" i="2"/>
  <c r="O397" i="2" s="1"/>
  <c r="G398" i="2"/>
  <c r="G399" i="2"/>
  <c r="G400" i="2"/>
  <c r="G401" i="2"/>
  <c r="G402" i="2"/>
  <c r="G403" i="2"/>
  <c r="G404" i="2"/>
  <c r="G405" i="2"/>
  <c r="O405" i="2" s="1"/>
  <c r="G406" i="2"/>
  <c r="G407" i="2"/>
  <c r="O407" i="2" s="1"/>
  <c r="G408" i="2"/>
  <c r="G409" i="2"/>
  <c r="G410" i="2"/>
  <c r="O410" i="2" s="1"/>
  <c r="G411" i="2"/>
  <c r="G412" i="2"/>
  <c r="G413" i="2"/>
  <c r="G414" i="2"/>
  <c r="G415" i="2"/>
  <c r="O415" i="2" s="1"/>
  <c r="G416" i="2"/>
  <c r="O416" i="2" s="1"/>
  <c r="G417" i="2"/>
  <c r="O417" i="2" s="1"/>
  <c r="G418" i="2"/>
  <c r="G419" i="2"/>
  <c r="G420" i="2"/>
  <c r="G421" i="2"/>
  <c r="O421" i="2" s="1"/>
  <c r="G422" i="2"/>
  <c r="O422" i="2" s="1"/>
  <c r="G423" i="2"/>
  <c r="G424" i="2"/>
  <c r="G425" i="2"/>
  <c r="G426" i="2"/>
  <c r="G427" i="2"/>
  <c r="G428" i="2"/>
  <c r="G429" i="2"/>
  <c r="O429" i="2" s="1"/>
  <c r="G430" i="2"/>
  <c r="O430" i="2" s="1"/>
  <c r="G431" i="2"/>
  <c r="G432" i="2"/>
  <c r="G433" i="2"/>
  <c r="G434" i="2"/>
  <c r="O434" i="2" s="1"/>
  <c r="G435" i="2"/>
  <c r="G436" i="2"/>
  <c r="O436" i="2" s="1"/>
  <c r="G437" i="2"/>
  <c r="G438" i="2"/>
  <c r="G439" i="2"/>
  <c r="G440" i="2"/>
  <c r="G441" i="2"/>
  <c r="G442" i="2"/>
  <c r="G443" i="2"/>
  <c r="G444" i="2"/>
  <c r="G445" i="2"/>
  <c r="G446" i="2"/>
  <c r="G447" i="2"/>
  <c r="O447" i="2" s="1"/>
  <c r="G448" i="2"/>
  <c r="G449" i="2"/>
  <c r="G450" i="2"/>
  <c r="O450" i="2" s="1"/>
  <c r="G451" i="2"/>
  <c r="G452" i="2"/>
  <c r="G453" i="2"/>
  <c r="G454" i="2"/>
  <c r="G455" i="2"/>
  <c r="G456" i="2"/>
  <c r="O456" i="2" s="1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O469" i="2" s="1"/>
  <c r="G470" i="2"/>
  <c r="G471" i="2"/>
  <c r="O471" i="2" s="1"/>
  <c r="G472" i="2"/>
  <c r="G473" i="2"/>
  <c r="G474" i="2"/>
  <c r="G475" i="2"/>
  <c r="O475" i="2" s="1"/>
  <c r="G476" i="2"/>
  <c r="G477" i="2"/>
  <c r="G478" i="2"/>
  <c r="G479" i="2"/>
  <c r="G480" i="2"/>
  <c r="G481" i="2"/>
  <c r="G482" i="2"/>
  <c r="G483" i="2"/>
  <c r="G484" i="2"/>
  <c r="O484" i="2" s="1"/>
  <c r="G485" i="2"/>
  <c r="O485" i="2" s="1"/>
  <c r="G486" i="2"/>
  <c r="G487" i="2"/>
  <c r="G488" i="2"/>
  <c r="O488" i="2" s="1"/>
  <c r="G489" i="2"/>
  <c r="G490" i="2"/>
  <c r="G491" i="2"/>
  <c r="G492" i="2"/>
  <c r="G493" i="2"/>
  <c r="O493" i="2" s="1"/>
  <c r="G494" i="2"/>
  <c r="G495" i="2"/>
  <c r="G496" i="2"/>
  <c r="G497" i="2"/>
  <c r="G498" i="2"/>
  <c r="O498" i="2" s="1"/>
  <c r="G499" i="2"/>
  <c r="O499" i="2" s="1"/>
  <c r="G500" i="2"/>
  <c r="G501" i="2"/>
  <c r="O501" i="2" s="1"/>
  <c r="G502" i="2"/>
  <c r="G503" i="2"/>
  <c r="O503" i="2" s="1"/>
  <c r="G504" i="2"/>
  <c r="O504" i="2" s="1"/>
  <c r="G505" i="2"/>
  <c r="G506" i="2"/>
  <c r="G507" i="2"/>
  <c r="G508" i="2"/>
  <c r="G509" i="2"/>
  <c r="G510" i="2"/>
  <c r="G511" i="2"/>
  <c r="G512" i="2"/>
  <c r="G513" i="2"/>
  <c r="O513" i="2" s="1"/>
  <c r="G514" i="2"/>
  <c r="T514" i="2" s="1"/>
  <c r="G515" i="2"/>
  <c r="G516" i="2"/>
  <c r="T516" i="2" s="1"/>
  <c r="G517" i="2"/>
  <c r="G518" i="2"/>
  <c r="O518" i="2" s="1"/>
  <c r="G519" i="2"/>
  <c r="T519" i="2" s="1"/>
  <c r="G520" i="2"/>
  <c r="O520" i="2" s="1"/>
  <c r="G521" i="2"/>
  <c r="O521" i="2" s="1"/>
  <c r="G522" i="2"/>
  <c r="T522" i="2" s="1"/>
  <c r="G523" i="2"/>
  <c r="O523" i="2" s="1"/>
  <c r="G524" i="2"/>
  <c r="G525" i="2"/>
  <c r="G526" i="2"/>
  <c r="G527" i="2"/>
  <c r="G528" i="2"/>
  <c r="O528" i="2" s="1"/>
  <c r="G529" i="2"/>
  <c r="G530" i="2"/>
  <c r="G531" i="2"/>
  <c r="O531" i="2" s="1"/>
  <c r="G532" i="2"/>
  <c r="O532" i="2" s="1"/>
  <c r="G533" i="2"/>
  <c r="G534" i="2"/>
  <c r="G535" i="2"/>
  <c r="G536" i="2"/>
  <c r="G537" i="2"/>
  <c r="G538" i="2"/>
  <c r="G539" i="2"/>
  <c r="G540" i="2"/>
  <c r="G541" i="2"/>
  <c r="G542" i="2"/>
  <c r="O542" i="2" s="1"/>
  <c r="G543" i="2"/>
  <c r="G544" i="2"/>
  <c r="O544" i="2" s="1"/>
  <c r="G545" i="2"/>
  <c r="G546" i="2"/>
  <c r="O546" i="2" s="1"/>
  <c r="G547" i="2"/>
  <c r="G548" i="2"/>
  <c r="G549" i="2"/>
  <c r="O549" i="2" s="1"/>
  <c r="G550" i="2"/>
  <c r="G551" i="2"/>
  <c r="G552" i="2"/>
  <c r="O552" i="2" s="1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O570" i="2" s="1"/>
  <c r="G571" i="2"/>
  <c r="G572" i="2"/>
  <c r="G573" i="2"/>
  <c r="G574" i="2"/>
  <c r="O574" i="2" s="1"/>
  <c r="G575" i="2"/>
  <c r="G576" i="2"/>
  <c r="O576" i="2" s="1"/>
  <c r="G577" i="2"/>
  <c r="G578" i="2"/>
  <c r="G579" i="2"/>
  <c r="G580" i="2"/>
  <c r="G581" i="2"/>
  <c r="G582" i="2"/>
  <c r="O582" i="2" s="1"/>
  <c r="G583" i="2"/>
  <c r="G584" i="2"/>
  <c r="G585" i="2"/>
  <c r="G586" i="2"/>
  <c r="G587" i="2"/>
  <c r="G588" i="2"/>
  <c r="G589" i="2"/>
  <c r="O589" i="2" s="1"/>
  <c r="G590" i="2"/>
  <c r="G591" i="2"/>
  <c r="O591" i="2" s="1"/>
  <c r="G592" i="2"/>
  <c r="G593" i="2"/>
  <c r="G594" i="2"/>
  <c r="O594" i="2" s="1"/>
  <c r="G595" i="2"/>
  <c r="G596" i="2"/>
  <c r="O596" i="2" s="1"/>
  <c r="G597" i="2"/>
  <c r="G598" i="2"/>
  <c r="O598" i="2" s="1"/>
  <c r="G599" i="2"/>
  <c r="G600" i="2"/>
  <c r="G601" i="2"/>
  <c r="G602" i="2"/>
  <c r="G603" i="2"/>
  <c r="G604" i="2"/>
  <c r="G605" i="2"/>
  <c r="O605" i="2" s="1"/>
  <c r="G606" i="2"/>
  <c r="O606" i="2" s="1"/>
  <c r="G607" i="2"/>
  <c r="G608" i="2"/>
  <c r="G609" i="2"/>
  <c r="O609" i="2" s="1"/>
  <c r="G610" i="2"/>
  <c r="O610" i="2" s="1"/>
  <c r="G611" i="2"/>
  <c r="G612" i="2"/>
  <c r="O612" i="2" s="1"/>
  <c r="G613" i="2"/>
  <c r="G614" i="2"/>
  <c r="G615" i="2"/>
  <c r="G616" i="2"/>
  <c r="G617" i="2"/>
  <c r="G618" i="2"/>
  <c r="O618" i="2" s="1"/>
  <c r="G619" i="2"/>
  <c r="G620" i="2"/>
  <c r="O620" i="2" s="1"/>
  <c r="G621" i="2"/>
  <c r="O621" i="2" s="1"/>
  <c r="G622" i="2"/>
  <c r="G623" i="2"/>
  <c r="G624" i="2"/>
  <c r="G625" i="2"/>
  <c r="G626" i="2"/>
  <c r="G627" i="2"/>
  <c r="G628" i="2"/>
  <c r="O628" i="2" s="1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O647" i="2" s="1"/>
  <c r="G648" i="2"/>
  <c r="O648" i="2" s="1"/>
  <c r="G649" i="2"/>
  <c r="G650" i="2"/>
  <c r="G651" i="2"/>
  <c r="G652" i="2"/>
  <c r="G653" i="2"/>
  <c r="O653" i="2" s="1"/>
  <c r="G654" i="2"/>
  <c r="G655" i="2"/>
  <c r="G656" i="2"/>
  <c r="O656" i="2" s="1"/>
  <c r="G657" i="2"/>
  <c r="G658" i="2"/>
  <c r="G659" i="2"/>
  <c r="O659" i="2" s="1"/>
  <c r="G660" i="2"/>
  <c r="G661" i="2"/>
  <c r="G662" i="2"/>
  <c r="T662" i="2" s="1"/>
  <c r="G663" i="2"/>
  <c r="T663" i="2" s="1"/>
  <c r="G664" i="2"/>
  <c r="G665" i="2"/>
  <c r="G666" i="2"/>
  <c r="G667" i="2"/>
  <c r="G668" i="2"/>
  <c r="G669" i="2"/>
  <c r="G670" i="2"/>
  <c r="G671" i="2"/>
  <c r="T671" i="2" s="1"/>
  <c r="G672" i="2"/>
  <c r="G673" i="2"/>
  <c r="T673" i="2" s="1"/>
  <c r="G674" i="2"/>
  <c r="G675" i="2"/>
  <c r="G676" i="2"/>
  <c r="G677" i="2"/>
  <c r="G678" i="2"/>
  <c r="T678" i="2" s="1"/>
  <c r="G679" i="2"/>
  <c r="G680" i="2"/>
  <c r="G681" i="2"/>
  <c r="G682" i="2"/>
  <c r="G683" i="2"/>
  <c r="G684" i="2"/>
  <c r="T684" i="2" s="1"/>
  <c r="G685" i="2"/>
  <c r="G686" i="2"/>
  <c r="G687" i="2"/>
  <c r="G688" i="2"/>
  <c r="T688" i="2" s="1"/>
  <c r="G689" i="2"/>
  <c r="G690" i="2"/>
  <c r="G691" i="2"/>
  <c r="T691" i="2" s="1"/>
  <c r="G692" i="2"/>
  <c r="G693" i="2"/>
  <c r="G694" i="2"/>
  <c r="O694" i="2" s="1"/>
  <c r="G695" i="2"/>
  <c r="O695" i="2" s="1"/>
  <c r="G696" i="2"/>
  <c r="G697" i="2"/>
  <c r="G698" i="2"/>
  <c r="G699" i="2"/>
  <c r="G700" i="2"/>
  <c r="O700" i="2" s="1"/>
  <c r="G701" i="2"/>
  <c r="O701" i="2" s="1"/>
  <c r="G2" i="2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2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2" i="2"/>
  <c r="E4" i="3"/>
  <c r="P45" i="2" l="1"/>
  <c r="P46" i="2"/>
  <c r="P611" i="2"/>
  <c r="P613" i="2"/>
  <c r="P614" i="2"/>
  <c r="T649" i="2"/>
  <c r="O649" i="2"/>
  <c r="T655" i="2"/>
  <c r="O655" i="2"/>
  <c r="T692" i="2"/>
  <c r="O692" i="2"/>
  <c r="P51" i="2"/>
  <c r="P54" i="2"/>
  <c r="P56" i="2"/>
  <c r="P59" i="2"/>
  <c r="P60" i="2"/>
  <c r="P66" i="2"/>
  <c r="P67" i="2"/>
  <c r="T575" i="2"/>
  <c r="O575" i="2"/>
  <c r="T577" i="2"/>
  <c r="O577" i="2"/>
  <c r="T579" i="2"/>
  <c r="O579" i="2"/>
  <c r="T583" i="2"/>
  <c r="O583" i="2"/>
  <c r="T584" i="2"/>
  <c r="O584" i="2"/>
  <c r="T586" i="2"/>
  <c r="O586" i="2"/>
  <c r="T590" i="2"/>
  <c r="O590" i="2"/>
  <c r="T592" i="2"/>
  <c r="O592" i="2"/>
  <c r="T595" i="2"/>
  <c r="O595" i="2"/>
  <c r="T601" i="2"/>
  <c r="O601" i="2"/>
  <c r="T602" i="2"/>
  <c r="O602" i="2"/>
  <c r="T603" i="2"/>
  <c r="O603" i="2"/>
  <c r="T611" i="2"/>
  <c r="O611" i="2"/>
  <c r="T613" i="2"/>
  <c r="O613" i="2"/>
  <c r="T614" i="2"/>
  <c r="O614" i="2"/>
  <c r="T616" i="2"/>
  <c r="O616" i="2"/>
  <c r="T619" i="2"/>
  <c r="O619" i="2"/>
  <c r="T622" i="2"/>
  <c r="O622" i="2"/>
  <c r="T623" i="2"/>
  <c r="O623" i="2"/>
  <c r="T629" i="2"/>
  <c r="O629" i="2"/>
  <c r="T631" i="2"/>
  <c r="O631" i="2"/>
  <c r="T635" i="2"/>
  <c r="O635" i="2"/>
  <c r="T636" i="2"/>
  <c r="O636" i="2"/>
  <c r="T637" i="2"/>
  <c r="O637" i="2"/>
  <c r="T640" i="2"/>
  <c r="O640" i="2"/>
  <c r="T642" i="2"/>
  <c r="O642" i="2"/>
  <c r="T644" i="2"/>
  <c r="O644" i="2"/>
  <c r="F9" i="20"/>
  <c r="F18" i="20"/>
  <c r="F13" i="20"/>
  <c r="F17" i="20"/>
  <c r="F5" i="20"/>
  <c r="F16" i="20"/>
  <c r="F11" i="20"/>
  <c r="F15" i="20"/>
  <c r="F7" i="20"/>
  <c r="F12" i="20"/>
  <c r="F14" i="20"/>
  <c r="F6" i="20"/>
  <c r="F10" i="20"/>
  <c r="F8" i="20"/>
  <c r="F4" i="20"/>
  <c r="W5" i="42"/>
  <c r="A9" i="42"/>
  <c r="M5" i="42"/>
  <c r="C5" i="42"/>
  <c r="P98" i="2"/>
  <c r="P100" i="2"/>
  <c r="P111" i="2"/>
  <c r="P112" i="2"/>
  <c r="P113" i="2"/>
  <c r="P115" i="2"/>
  <c r="P118" i="2"/>
  <c r="P121" i="2"/>
  <c r="P127" i="2"/>
  <c r="P128" i="2"/>
  <c r="P130" i="2"/>
  <c r="P131" i="2"/>
  <c r="P134" i="2"/>
  <c r="P135" i="2"/>
  <c r="P136" i="2"/>
  <c r="P140" i="2"/>
  <c r="P144" i="2"/>
  <c r="P145" i="2"/>
  <c r="P147" i="2"/>
  <c r="P149" i="2"/>
  <c r="P157" i="2"/>
  <c r="P159" i="2"/>
  <c r="P161" i="2"/>
  <c r="P162" i="2"/>
  <c r="P163" i="2"/>
  <c r="P165" i="2"/>
  <c r="P170" i="2"/>
  <c r="P172" i="2"/>
  <c r="P174" i="2"/>
  <c r="P177" i="2"/>
  <c r="P179" i="2"/>
  <c r="P190" i="2"/>
  <c r="P192" i="2"/>
  <c r="P197" i="2"/>
  <c r="P200" i="2"/>
  <c r="P215" i="2"/>
  <c r="P222" i="2"/>
  <c r="P224" i="2"/>
  <c r="P228" i="2"/>
  <c r="P230" i="2"/>
  <c r="P236" i="2"/>
  <c r="P242" i="2"/>
  <c r="P243" i="2"/>
  <c r="P247" i="2"/>
  <c r="P248" i="2"/>
  <c r="P249" i="2"/>
  <c r="P250" i="2"/>
  <c r="P257" i="2"/>
  <c r="P258" i="2"/>
  <c r="P261" i="2"/>
  <c r="P268" i="2"/>
  <c r="P269" i="2"/>
  <c r="P270" i="2"/>
  <c r="P277" i="2"/>
  <c r="P280" i="2"/>
  <c r="P283" i="2"/>
  <c r="P285" i="2"/>
  <c r="P286" i="2"/>
  <c r="P291" i="2"/>
  <c r="P294" i="2"/>
  <c r="P298" i="2"/>
  <c r="P304" i="2"/>
  <c r="P310" i="2"/>
  <c r="P311" i="2"/>
  <c r="P313" i="2"/>
  <c r="P318" i="2"/>
  <c r="P348" i="2"/>
  <c r="P350" i="2"/>
  <c r="P353" i="2"/>
  <c r="P356" i="2"/>
  <c r="P359" i="2"/>
  <c r="P363" i="2"/>
  <c r="P380" i="2"/>
  <c r="P384" i="2"/>
  <c r="P387" i="2"/>
  <c r="P388" i="2"/>
  <c r="P391" i="2"/>
  <c r="P398" i="2"/>
  <c r="P402" i="2"/>
  <c r="P404" i="2"/>
  <c r="P408" i="2"/>
  <c r="P411" i="2"/>
  <c r="P412" i="2"/>
  <c r="P433" i="2"/>
  <c r="P437" i="2"/>
  <c r="P443" i="2"/>
  <c r="P444" i="2"/>
  <c r="P446" i="2"/>
  <c r="P448" i="2"/>
  <c r="P449" i="2"/>
  <c r="P452" i="2"/>
  <c r="P455" i="2"/>
  <c r="P461" i="2"/>
  <c r="P466" i="2"/>
  <c r="P467" i="2"/>
  <c r="P472" i="2"/>
  <c r="P474" i="2"/>
  <c r="P482" i="2"/>
  <c r="P483" i="2"/>
  <c r="P616" i="2"/>
  <c r="P619" i="2"/>
  <c r="P622" i="2"/>
  <c r="P623" i="2"/>
  <c r="P629" i="2"/>
  <c r="P631" i="2"/>
  <c r="P635" i="2"/>
  <c r="P636" i="2"/>
  <c r="P637" i="2"/>
  <c r="P640" i="2"/>
  <c r="P642" i="2"/>
  <c r="P644" i="2"/>
  <c r="P649" i="2"/>
  <c r="P655" i="2"/>
  <c r="P662" i="2"/>
  <c r="P663" i="2"/>
  <c r="P671" i="2"/>
  <c r="P673" i="2"/>
  <c r="P678" i="2"/>
  <c r="P684" i="2"/>
  <c r="P688" i="2"/>
  <c r="P691" i="2"/>
  <c r="P692" i="2"/>
  <c r="T4" i="2"/>
  <c r="O4" i="2"/>
  <c r="O9" i="2"/>
  <c r="T9" i="2"/>
  <c r="T13" i="2"/>
  <c r="O13" i="2"/>
  <c r="T14" i="2"/>
  <c r="O14" i="2"/>
  <c r="O15" i="2"/>
  <c r="T15" i="2"/>
  <c r="O24" i="2"/>
  <c r="T24" i="2"/>
  <c r="O25" i="2"/>
  <c r="T25" i="2"/>
  <c r="O35" i="2"/>
  <c r="T35" i="2"/>
  <c r="O36" i="2"/>
  <c r="T36" i="2"/>
  <c r="O37" i="2"/>
  <c r="T37" i="2"/>
  <c r="O38" i="2"/>
  <c r="T38" i="2"/>
  <c r="O45" i="2"/>
  <c r="T45" i="2"/>
  <c r="T46" i="2"/>
  <c r="O46" i="2"/>
  <c r="T51" i="2"/>
  <c r="O51" i="2"/>
  <c r="O54" i="2"/>
  <c r="T54" i="2"/>
  <c r="T56" i="2"/>
  <c r="O56" i="2"/>
  <c r="O59" i="2"/>
  <c r="T59" i="2"/>
  <c r="O60" i="2"/>
  <c r="T60" i="2"/>
  <c r="O66" i="2"/>
  <c r="T66" i="2"/>
  <c r="O67" i="2"/>
  <c r="T67" i="2"/>
  <c r="O68" i="2"/>
  <c r="T68" i="2"/>
  <c r="P68" i="2"/>
  <c r="O72" i="2"/>
  <c r="T72" i="2"/>
  <c r="P72" i="2"/>
  <c r="T75" i="2"/>
  <c r="P75" i="2"/>
  <c r="O75" i="2"/>
  <c r="T77" i="2"/>
  <c r="O77" i="2"/>
  <c r="P77" i="2"/>
  <c r="T78" i="2"/>
  <c r="P78" i="2"/>
  <c r="O78" i="2"/>
  <c r="O80" i="2"/>
  <c r="P80" i="2"/>
  <c r="T80" i="2"/>
  <c r="P81" i="2"/>
  <c r="O81" i="2"/>
  <c r="T81" i="2"/>
  <c r="T85" i="2"/>
  <c r="P85" i="2"/>
  <c r="O85" i="2"/>
  <c r="T87" i="2"/>
  <c r="O87" i="2"/>
  <c r="P87" i="2"/>
  <c r="T98" i="2"/>
  <c r="O98" i="2"/>
  <c r="O100" i="2"/>
  <c r="T100" i="2"/>
  <c r="O111" i="2"/>
  <c r="T111" i="2"/>
  <c r="O112" i="2"/>
  <c r="T112" i="2"/>
  <c r="O113" i="2"/>
  <c r="T113" i="2"/>
  <c r="T115" i="2"/>
  <c r="O115" i="2"/>
  <c r="O118" i="2"/>
  <c r="T118" i="2"/>
  <c r="T121" i="2"/>
  <c r="O121" i="2"/>
  <c r="O127" i="2"/>
  <c r="T127" i="2"/>
  <c r="O128" i="2"/>
  <c r="T128" i="2"/>
  <c r="O130" i="2"/>
  <c r="T130" i="2"/>
  <c r="T131" i="2"/>
  <c r="O131" i="2"/>
  <c r="T134" i="2"/>
  <c r="O134" i="2"/>
  <c r="T135" i="2"/>
  <c r="O135" i="2"/>
  <c r="O136" i="2"/>
  <c r="T136" i="2"/>
  <c r="O140" i="2"/>
  <c r="T140" i="2"/>
  <c r="T144" i="2"/>
  <c r="O144" i="2"/>
  <c r="O145" i="2"/>
  <c r="T145" i="2"/>
  <c r="O147" i="2"/>
  <c r="T147" i="2"/>
  <c r="O149" i="2"/>
  <c r="T149" i="2"/>
  <c r="T157" i="2"/>
  <c r="O157" i="2"/>
  <c r="O159" i="2"/>
  <c r="T159" i="2"/>
  <c r="O161" i="2"/>
  <c r="T161" i="2"/>
  <c r="O162" i="2"/>
  <c r="T162" i="2"/>
  <c r="T163" i="2"/>
  <c r="O163" i="2"/>
  <c r="O165" i="2"/>
  <c r="T165" i="2"/>
  <c r="O170" i="2"/>
  <c r="T170" i="2"/>
  <c r="O172" i="2"/>
  <c r="T172" i="2"/>
  <c r="O174" i="2"/>
  <c r="T174" i="2"/>
  <c r="O268" i="2"/>
  <c r="R268" i="2"/>
  <c r="T268" i="2"/>
  <c r="O269" i="2"/>
  <c r="R269" i="2"/>
  <c r="T269" i="2"/>
  <c r="O270" i="2"/>
  <c r="R270" i="2"/>
  <c r="T270" i="2"/>
  <c r="O277" i="2"/>
  <c r="R277" i="2"/>
  <c r="T277" i="2"/>
  <c r="O280" i="2"/>
  <c r="R280" i="2"/>
  <c r="T280" i="2"/>
  <c r="O283" i="2"/>
  <c r="R283" i="2"/>
  <c r="T283" i="2"/>
  <c r="O285" i="2"/>
  <c r="R285" i="2"/>
  <c r="T285" i="2"/>
  <c r="O286" i="2"/>
  <c r="R286" i="2"/>
  <c r="O291" i="2"/>
  <c r="R291" i="2"/>
  <c r="O294" i="2"/>
  <c r="R294" i="2"/>
  <c r="O298" i="2"/>
  <c r="R298" i="2"/>
  <c r="O304" i="2"/>
  <c r="R304" i="2"/>
  <c r="O310" i="2"/>
  <c r="R310" i="2"/>
  <c r="O311" i="2"/>
  <c r="R311" i="2"/>
  <c r="O313" i="2"/>
  <c r="R313" i="2"/>
  <c r="O318" i="2"/>
  <c r="R318" i="2"/>
  <c r="O322" i="2"/>
  <c r="R322" i="2"/>
  <c r="O326" i="2"/>
  <c r="R326" i="2"/>
  <c r="O331" i="2"/>
  <c r="R331" i="2"/>
  <c r="O335" i="2"/>
  <c r="R335" i="2"/>
  <c r="O336" i="2"/>
  <c r="R336" i="2"/>
  <c r="O348" i="2"/>
  <c r="R348" i="2"/>
  <c r="O350" i="2"/>
  <c r="R350" i="2"/>
  <c r="O353" i="2"/>
  <c r="R353" i="2"/>
  <c r="O356" i="2"/>
  <c r="R356" i="2"/>
  <c r="R359" i="2"/>
  <c r="O359" i="2"/>
  <c r="O363" i="2"/>
  <c r="R363" i="2"/>
  <c r="O380" i="2"/>
  <c r="R380" i="2"/>
  <c r="R384" i="2"/>
  <c r="O384" i="2"/>
  <c r="R387" i="2"/>
  <c r="O387" i="2"/>
  <c r="R388" i="2"/>
  <c r="O388" i="2"/>
  <c r="R391" i="2"/>
  <c r="O391" i="2"/>
  <c r="O398" i="2"/>
  <c r="R398" i="2"/>
  <c r="O402" i="2"/>
  <c r="R402" i="2"/>
  <c r="R404" i="2"/>
  <c r="O404" i="2"/>
  <c r="O408" i="2"/>
  <c r="R408" i="2"/>
  <c r="R411" i="2"/>
  <c r="O411" i="2"/>
  <c r="R412" i="2"/>
  <c r="O412" i="2"/>
  <c r="O433" i="2"/>
  <c r="R433" i="2"/>
  <c r="O437" i="2"/>
  <c r="R437" i="2"/>
  <c r="O443" i="2"/>
  <c r="R443" i="2"/>
  <c r="R444" i="2"/>
  <c r="O444" i="2"/>
  <c r="R446" i="2"/>
  <c r="O446" i="2"/>
  <c r="O448" i="2"/>
  <c r="R448" i="2"/>
  <c r="O449" i="2"/>
  <c r="R449" i="2"/>
  <c r="O452" i="2"/>
  <c r="R452" i="2"/>
  <c r="R455" i="2"/>
  <c r="O455" i="2"/>
  <c r="O461" i="2"/>
  <c r="R461" i="2"/>
  <c r="R466" i="2"/>
  <c r="O466" i="2"/>
  <c r="R467" i="2"/>
  <c r="O467" i="2"/>
  <c r="O472" i="2"/>
  <c r="R472" i="2"/>
  <c r="O474" i="2"/>
  <c r="R474" i="2"/>
  <c r="O482" i="2"/>
  <c r="R482" i="2"/>
  <c r="R483" i="2"/>
  <c r="O483" i="2"/>
  <c r="R487" i="2"/>
  <c r="O487" i="2"/>
  <c r="R489" i="2"/>
  <c r="O489" i="2"/>
  <c r="R490" i="2"/>
  <c r="O490" i="2"/>
  <c r="R492" i="2"/>
  <c r="O492" i="2"/>
  <c r="R494" i="2"/>
  <c r="O494" i="2"/>
  <c r="R497" i="2"/>
  <c r="O497" i="2"/>
  <c r="R502" i="2"/>
  <c r="O502" i="2"/>
  <c r="R505" i="2"/>
  <c r="O505" i="2"/>
  <c r="R507" i="2"/>
  <c r="O507" i="2"/>
  <c r="R511" i="2"/>
  <c r="O511" i="2"/>
  <c r="R514" i="2"/>
  <c r="O514" i="2"/>
  <c r="R516" i="2"/>
  <c r="O516" i="2"/>
  <c r="R519" i="2"/>
  <c r="O519" i="2"/>
  <c r="R522" i="2"/>
  <c r="O522" i="2"/>
  <c r="R527" i="2"/>
  <c r="T527" i="2"/>
  <c r="O527" i="2"/>
  <c r="T534" i="2"/>
  <c r="R534" i="2"/>
  <c r="O534" i="2"/>
  <c r="T539" i="2"/>
  <c r="R539" i="2"/>
  <c r="O539" i="2"/>
  <c r="T545" i="2"/>
  <c r="O545" i="2"/>
  <c r="R545" i="2"/>
  <c r="T550" i="2"/>
  <c r="R550" i="2"/>
  <c r="O550" i="2"/>
  <c r="T553" i="2"/>
  <c r="R553" i="2"/>
  <c r="O553" i="2"/>
  <c r="T554" i="2"/>
  <c r="R554" i="2"/>
  <c r="O554" i="2"/>
  <c r="T561" i="2"/>
  <c r="O561" i="2"/>
  <c r="R561" i="2"/>
  <c r="T563" i="2"/>
  <c r="R563" i="2"/>
  <c r="O563" i="2"/>
  <c r="T564" i="2"/>
  <c r="R564" i="2"/>
  <c r="O564" i="2"/>
  <c r="T565" i="2"/>
  <c r="R565" i="2"/>
  <c r="O565" i="2"/>
  <c r="T566" i="2"/>
  <c r="R566" i="2"/>
  <c r="O566" i="2"/>
  <c r="T569" i="2"/>
  <c r="R569" i="2"/>
  <c r="O569" i="2"/>
  <c r="P487" i="2"/>
  <c r="P489" i="2"/>
  <c r="P490" i="2"/>
  <c r="P492" i="2"/>
  <c r="P494" i="2"/>
  <c r="P497" i="2"/>
  <c r="P502" i="2"/>
  <c r="P505" i="2"/>
  <c r="P507" i="2"/>
  <c r="P511" i="2"/>
  <c r="P514" i="2"/>
  <c r="P516" i="2"/>
  <c r="P519" i="2"/>
  <c r="P522" i="2"/>
  <c r="P527" i="2"/>
  <c r="P534" i="2"/>
  <c r="P539" i="2"/>
  <c r="P545" i="2"/>
  <c r="P550" i="2"/>
  <c r="P553" i="2"/>
  <c r="P554" i="2"/>
  <c r="P561" i="2"/>
  <c r="P563" i="2"/>
  <c r="P564" i="2"/>
  <c r="P565" i="2"/>
  <c r="P566" i="2"/>
  <c r="P569" i="2"/>
  <c r="O177" i="2"/>
  <c r="R177" i="2"/>
  <c r="O179" i="2"/>
  <c r="R179" i="2"/>
  <c r="O190" i="2"/>
  <c r="R190" i="2"/>
  <c r="O192" i="2"/>
  <c r="R192" i="2"/>
  <c r="O197" i="2"/>
  <c r="R197" i="2"/>
  <c r="R200" i="2"/>
  <c r="O200" i="2"/>
  <c r="O215" i="2"/>
  <c r="R215" i="2"/>
  <c r="R222" i="2"/>
  <c r="O222" i="2"/>
  <c r="O224" i="2"/>
  <c r="R224" i="2"/>
  <c r="O228" i="2"/>
  <c r="R228" i="2"/>
  <c r="R230" i="2"/>
  <c r="O230" i="2"/>
  <c r="R236" i="2"/>
  <c r="O236" i="2"/>
  <c r="R242" i="2"/>
  <c r="O242" i="2"/>
  <c r="O243" i="2"/>
  <c r="R243" i="2"/>
  <c r="R247" i="2"/>
  <c r="O247" i="2"/>
  <c r="O248" i="2"/>
  <c r="R248" i="2"/>
  <c r="O249" i="2"/>
  <c r="R249" i="2"/>
  <c r="O250" i="2"/>
  <c r="R250" i="2"/>
  <c r="O257" i="2"/>
  <c r="R257" i="2"/>
  <c r="O258" i="2"/>
  <c r="R258" i="2"/>
  <c r="O261" i="2"/>
  <c r="R26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 Campbell</author>
  </authors>
  <commentList>
    <comment ref="B504" authorId="0" shapeId="0" xr:uid="{49A79BAD-B315-4184-A6CE-E612344CB7F6}">
      <text>
        <r>
          <rPr>
            <b/>
            <sz val="9"/>
            <color indexed="81"/>
            <rFont val="Tahoma"/>
            <family val="2"/>
          </rPr>
          <t>William Campbell:</t>
        </r>
        <r>
          <rPr>
            <sz val="9"/>
            <color indexed="81"/>
            <rFont val="Tahoma"/>
            <family val="2"/>
          </rPr>
          <t xml:space="preserve">
Here is a note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</futureMetadata>
  <cellMetadata count="1">
    <bk>
      <rc t="1" v="0"/>
    </bk>
  </cellMetadata>
  <valueMetadata count="16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</valueMetadata>
</metadata>
</file>

<file path=xl/sharedStrings.xml><?xml version="1.0" encoding="utf-8"?>
<sst xmlns="http://schemas.openxmlformats.org/spreadsheetml/2006/main" count="3869" uniqueCount="376">
  <si>
    <t>Leinster</t>
  </si>
  <si>
    <t>Munster</t>
  </si>
  <si>
    <t>Ulster</t>
  </si>
  <si>
    <t>Connaught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</si>
  <si>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</si>
  <si>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</si>
  <si>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</si>
  <si>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</si>
  <si>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</si>
  <si>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</si>
  <si>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</si>
  <si>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</si>
  <si>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</si>
  <si>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</si>
  <si>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</si>
  <si>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</si>
  <si>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Segment</t>
  </si>
  <si>
    <t>Country</t>
  </si>
  <si>
    <t>Product</t>
  </si>
  <si>
    <t>Discount Band</t>
  </si>
  <si>
    <t>Units Sold</t>
  </si>
  <si>
    <t>Sale Price</t>
  </si>
  <si>
    <t>Profit</t>
  </si>
  <si>
    <t>Date</t>
  </si>
  <si>
    <t>Government</t>
  </si>
  <si>
    <t>Carretera</t>
  </si>
  <si>
    <t>None</t>
  </si>
  <si>
    <t>Germany</t>
  </si>
  <si>
    <t>Midmarket</t>
  </si>
  <si>
    <t>France</t>
  </si>
  <si>
    <t>Montana</t>
  </si>
  <si>
    <t>Channel Partners</t>
  </si>
  <si>
    <t>Ireland</t>
  </si>
  <si>
    <t>Enterprise</t>
  </si>
  <si>
    <t>Small Business</t>
  </si>
  <si>
    <t>Paseo</t>
  </si>
  <si>
    <t>Velo</t>
  </si>
  <si>
    <t>VTT</t>
  </si>
  <si>
    <t>Amarilla</t>
  </si>
  <si>
    <t>Low</t>
  </si>
  <si>
    <t>Medium</t>
  </si>
  <si>
    <t>High</t>
  </si>
  <si>
    <t>Spain</t>
  </si>
  <si>
    <t>Italy</t>
  </si>
  <si>
    <t>Netherlands</t>
  </si>
  <si>
    <t>Happy</t>
  </si>
  <si>
    <t>Unhappy</t>
  </si>
  <si>
    <t>Emmanuel Macron, France</t>
  </si>
  <si>
    <t>Olaf Scholz, Germany</t>
  </si>
  <si>
    <t>Pedro Sánchez, Spain</t>
  </si>
  <si>
    <t>Fairy</t>
  </si>
  <si>
    <t>Bold</t>
  </si>
  <si>
    <t>Daz</t>
  </si>
  <si>
    <t>Ariel</t>
  </si>
  <si>
    <t>Surf</t>
  </si>
  <si>
    <t>Brand</t>
  </si>
  <si>
    <t>Market Share</t>
  </si>
  <si>
    <t>Month</t>
  </si>
  <si>
    <t>Inflation Rate</t>
  </si>
  <si>
    <t>ID</t>
  </si>
  <si>
    <t>Sales</t>
  </si>
  <si>
    <t>Dish</t>
  </si>
  <si>
    <t>Moussaka</t>
  </si>
  <si>
    <t>Pasta</t>
  </si>
  <si>
    <t>Enchalada</t>
  </si>
  <si>
    <t>Curry</t>
  </si>
  <si>
    <t>Pizza</t>
  </si>
  <si>
    <t>Fish &amp; Chips</t>
  </si>
  <si>
    <t>Burger</t>
  </si>
  <si>
    <t>Salad</t>
  </si>
  <si>
    <t>Price</t>
  </si>
  <si>
    <t>Yes</t>
  </si>
  <si>
    <t>No</t>
  </si>
  <si>
    <t>Kier Stamer, Britain</t>
  </si>
  <si>
    <t>Cost Price</t>
  </si>
  <si>
    <t>VAT Inc</t>
  </si>
  <si>
    <t>18653</t>
  </si>
  <si>
    <t>18798</t>
  </si>
  <si>
    <t>18615</t>
  </si>
  <si>
    <t>18683</t>
  </si>
  <si>
    <t>8488</t>
  </si>
  <si>
    <t>18493</t>
  </si>
  <si>
    <t>10413</t>
  </si>
  <si>
    <t>18478</t>
  </si>
  <si>
    <t>18650</t>
  </si>
  <si>
    <t>18649</t>
  </si>
  <si>
    <t>18637</t>
  </si>
  <si>
    <t>18641</t>
  </si>
  <si>
    <t>18634</t>
  </si>
  <si>
    <t>18528</t>
  </si>
  <si>
    <t>18643</t>
  </si>
  <si>
    <t>18588</t>
  </si>
  <si>
    <t>18436</t>
  </si>
  <si>
    <t>18669</t>
  </si>
  <si>
    <t>18635</t>
  </si>
  <si>
    <t>18802</t>
  </si>
  <si>
    <t>9378</t>
  </si>
  <si>
    <t>9377</t>
  </si>
  <si>
    <t>10415</t>
  </si>
  <si>
    <t>9376</t>
  </si>
  <si>
    <t>18603</t>
  </si>
  <si>
    <t>18671</t>
  </si>
  <si>
    <t>18677</t>
  </si>
  <si>
    <t>18666</t>
  </si>
  <si>
    <t>18667</t>
  </si>
  <si>
    <t>18743</t>
  </si>
  <si>
    <t>9350</t>
  </si>
  <si>
    <t>18631</t>
  </si>
  <si>
    <t>18740</t>
  </si>
  <si>
    <t>18474</t>
  </si>
  <si>
    <t>9380</t>
  </si>
  <si>
    <t>18497</t>
  </si>
  <si>
    <t>18501</t>
  </si>
  <si>
    <t>4676</t>
  </si>
  <si>
    <t>18676</t>
  </si>
  <si>
    <t>18613</t>
  </si>
  <si>
    <t>18617</t>
  </si>
  <si>
    <t>18621</t>
  </si>
  <si>
    <t>9347</t>
  </si>
  <si>
    <t>18507</t>
  </si>
  <si>
    <t>18606</t>
  </si>
  <si>
    <t>8901</t>
  </si>
  <si>
    <t>18682</t>
  </si>
  <si>
    <t>9360</t>
  </si>
  <si>
    <t>9331</t>
  </si>
  <si>
    <t>18744</t>
  </si>
  <si>
    <t>18605</t>
  </si>
  <si>
    <t>18679</t>
  </si>
  <si>
    <t>18582</t>
  </si>
  <si>
    <t>18624</t>
  </si>
  <si>
    <t>8730</t>
  </si>
  <si>
    <t>18498</t>
  </si>
  <si>
    <t>18577</t>
  </si>
  <si>
    <t>9239</t>
  </si>
  <si>
    <t>18479</t>
  </si>
  <si>
    <t>18716</t>
  </si>
  <si>
    <t>18714</t>
  </si>
  <si>
    <t>18500</t>
  </si>
  <si>
    <t>18721</t>
  </si>
  <si>
    <t>18723</t>
  </si>
  <si>
    <t>18765</t>
  </si>
  <si>
    <t>18715</t>
  </si>
  <si>
    <t>18722</t>
  </si>
  <si>
    <t>18720</t>
  </si>
  <si>
    <t>18719</t>
  </si>
  <si>
    <t>18607</t>
  </si>
  <si>
    <t>18799</t>
  </si>
  <si>
    <t>18724</t>
  </si>
  <si>
    <t>18540</t>
  </si>
  <si>
    <t>18718</t>
  </si>
  <si>
    <t>Asparagus Bake</t>
  </si>
  <si>
    <t>09/04/2021</t>
  </si>
  <si>
    <t>9/17/2022</t>
  </si>
  <si>
    <t>01/01/2021</t>
  </si>
  <si>
    <t>6/27/2021</t>
  </si>
  <si>
    <t>01/10/2021</t>
  </si>
  <si>
    <t>5/26/2021</t>
  </si>
  <si>
    <t>4/24/2021</t>
  </si>
  <si>
    <t>2/27/2021</t>
  </si>
  <si>
    <t>02/11/2021</t>
  </si>
  <si>
    <t>8/16/2022</t>
  </si>
  <si>
    <t>07/02/2022</t>
  </si>
  <si>
    <t>3/25/2021</t>
  </si>
  <si>
    <t>2/27/2022</t>
  </si>
  <si>
    <t>4/23/2022</t>
  </si>
  <si>
    <t>12/14/2020</t>
  </si>
  <si>
    <t>3/13/2022</t>
  </si>
  <si>
    <t>04/11/2021</t>
  </si>
  <si>
    <t>8/24/2021</t>
  </si>
  <si>
    <t>9/21/2022</t>
  </si>
  <si>
    <t>3/31/2022</t>
  </si>
  <si>
    <t>02/04/2022</t>
  </si>
  <si>
    <t>4/27/2022</t>
  </si>
  <si>
    <t>11/22/2020</t>
  </si>
  <si>
    <t>10/11/2022</t>
  </si>
  <si>
    <t>07/07/2021</t>
  </si>
  <si>
    <t>12/17/2020</t>
  </si>
  <si>
    <t>1/29/2022</t>
  </si>
  <si>
    <t>8/20/2021</t>
  </si>
  <si>
    <t>12/25/2021</t>
  </si>
  <si>
    <t>9/13/2022</t>
  </si>
  <si>
    <t>8/16/2021</t>
  </si>
  <si>
    <t>09/11/2022</t>
  </si>
  <si>
    <t>06/06/2021</t>
  </si>
  <si>
    <t>1/20/2021</t>
  </si>
  <si>
    <t>01/02/2022</t>
  </si>
  <si>
    <t>12/03/2020</t>
  </si>
  <si>
    <t>12/07/2021</t>
  </si>
  <si>
    <t>12/18/2021</t>
  </si>
  <si>
    <t>2/23/2022</t>
  </si>
  <si>
    <t>8/25/2021</t>
  </si>
  <si>
    <t>04/05/2022</t>
  </si>
  <si>
    <t>8/21/2022</t>
  </si>
  <si>
    <t>2/19/2022</t>
  </si>
  <si>
    <t>02/12/2022</t>
  </si>
  <si>
    <t>03/04/2021</t>
  </si>
  <si>
    <t>02/12/2021</t>
  </si>
  <si>
    <t>6/14/2022</t>
  </si>
  <si>
    <t>06/05/2022</t>
  </si>
  <si>
    <t>07/01/2021</t>
  </si>
  <si>
    <t>6/22/2022</t>
  </si>
  <si>
    <t>10/09/2022</t>
  </si>
  <si>
    <t>09/05/2021</t>
  </si>
  <si>
    <t>11/02/2022</t>
  </si>
  <si>
    <t>6/30/2022</t>
  </si>
  <si>
    <t>02/09/2021</t>
  </si>
  <si>
    <t>8/27/2021</t>
  </si>
  <si>
    <t>12/21/2021</t>
  </si>
  <si>
    <t>03/07/2021</t>
  </si>
  <si>
    <t>6/17/2022</t>
  </si>
  <si>
    <t>3/15/2022</t>
  </si>
  <si>
    <t>6/20/2022</t>
  </si>
  <si>
    <t>2/23/2021</t>
  </si>
  <si>
    <t>6/18/2022</t>
  </si>
  <si>
    <t>9/18/2022</t>
  </si>
  <si>
    <t>7/23/2021</t>
  </si>
  <si>
    <t>06/08/2021</t>
  </si>
  <si>
    <t>10/15/2022</t>
  </si>
  <si>
    <t>4/29/2022</t>
  </si>
  <si>
    <t>1/19/2021</t>
  </si>
  <si>
    <t>05/01/2022</t>
  </si>
  <si>
    <t>12/08/2021</t>
  </si>
  <si>
    <t>4/17/2022</t>
  </si>
  <si>
    <t>02/08/2021</t>
  </si>
  <si>
    <t>01/06/2021</t>
  </si>
  <si>
    <t>6/13/2021</t>
  </si>
  <si>
    <t>2/20/2021</t>
  </si>
  <si>
    <t>3/19/2021</t>
  </si>
  <si>
    <t>03/09/2022</t>
  </si>
  <si>
    <t>9/30/2021</t>
  </si>
  <si>
    <t>7/24/2021</t>
  </si>
  <si>
    <t>10/21/2022</t>
  </si>
  <si>
    <t>10/17/2021</t>
  </si>
  <si>
    <t>03/02/2022</t>
  </si>
  <si>
    <t>09/11/2021</t>
  </si>
  <si>
    <t>07/05/2021</t>
  </si>
  <si>
    <t>5/27/2021</t>
  </si>
  <si>
    <t>6/29/2021</t>
  </si>
  <si>
    <t>10/25/2022</t>
  </si>
  <si>
    <t>2/15/2022</t>
  </si>
  <si>
    <t>2/13/2021</t>
  </si>
  <si>
    <t>01/11/2022</t>
  </si>
  <si>
    <t>agrtc/403\XYZ/815</t>
  </si>
  <si>
    <t>grtcd/906\HMSNXY/847</t>
  </si>
  <si>
    <t>cde/903\VHMSNX/233</t>
  </si>
  <si>
    <t>agrtc/535\XYZ/929</t>
  </si>
  <si>
    <t>grtcd/140\HMSNXY/464</t>
  </si>
  <si>
    <t>cde/277\VHMSNX/270</t>
  </si>
  <si>
    <t>agrtc/227\XYZ/784</t>
  </si>
  <si>
    <t>grtcd/296\HMSNXY/818</t>
  </si>
  <si>
    <t>cde/917\VHMSNX/875</t>
  </si>
  <si>
    <t>agrtc/976\XYZ/186</t>
  </si>
  <si>
    <t>grtcd/825\HMSNXY/415</t>
  </si>
  <si>
    <t>cde/638\VHMSNX/673</t>
  </si>
  <si>
    <t>agrtc/322\XYZ/235</t>
  </si>
  <si>
    <t>grtcd/825\HMSNXY/593</t>
  </si>
  <si>
    <t>cde/262\VHMSNX/520</t>
  </si>
  <si>
    <t>agrtc/351\XYZ/236</t>
  </si>
  <si>
    <t>grtcd/771\HMSNXY/611</t>
  </si>
  <si>
    <t>agrtc/978\XYZ/960</t>
  </si>
  <si>
    <t>grtcd/804\HMSNXY/360</t>
  </si>
  <si>
    <t>cde/964\VHMSNX/705</t>
  </si>
  <si>
    <t>agrtc/739\XYZ/967</t>
  </si>
  <si>
    <t>grtcd/597\HMSNXY/670</t>
  </si>
  <si>
    <t>cde/661\VHMSNX/836</t>
  </si>
  <si>
    <t>agrtc/256\XYZ/439</t>
  </si>
  <si>
    <t>grtcd/317\HMSNXY/809</t>
  </si>
  <si>
    <t>cde/115\VHMSNX/650</t>
  </si>
  <si>
    <t>agrtc/810\XYZ/917</t>
  </si>
  <si>
    <t>grtcd/801\HMSNXY/840</t>
  </si>
  <si>
    <t>cde/632\VHMSNX/915</t>
  </si>
  <si>
    <t>agrtc/488\XYZ/528</t>
  </si>
  <si>
    <t>grtcd/447\HMSNXY/313</t>
  </si>
  <si>
    <t>cde/715\VHMSNX/142</t>
  </si>
  <si>
    <t>agrtc/733\XYZ/900</t>
  </si>
  <si>
    <t>grtcd/894\HMSNXY/242</t>
  </si>
  <si>
    <t>cde/366\VHMSNX/265</t>
  </si>
  <si>
    <t>agrtc/542\XYZ/836</t>
  </si>
  <si>
    <t>grtcd/359\HMSNXY/714</t>
  </si>
  <si>
    <t>cde/935\VHMSNX/882</t>
  </si>
  <si>
    <t>agrtc/124\XYZ/568</t>
  </si>
  <si>
    <t>grtcd/965\HMSNXY/270</t>
  </si>
  <si>
    <t>agrtc/670\XYZ/674</t>
  </si>
  <si>
    <t>grtcd/928\HMSNXY/647</t>
  </si>
  <si>
    <t>cde/191\VHMSNX/613</t>
  </si>
  <si>
    <t>agrtc/482\XYZ/126</t>
  </si>
  <si>
    <t>grtcd/879\HMSNXY/305</t>
  </si>
  <si>
    <t>cde/185\VHMSNX/365</t>
  </si>
  <si>
    <t>agrtc/793\XYZ/246</t>
  </si>
  <si>
    <t>grtcd/998\HMSNXY/402</t>
  </si>
  <si>
    <t>cde/162\VHMSNX/146</t>
  </si>
  <si>
    <t>agrtc/301\XYZ/535</t>
  </si>
  <si>
    <t>grtcd/337\HMSNXY/398</t>
  </si>
  <si>
    <t>cde/802\VHMSNX/645</t>
  </si>
  <si>
    <t>agrtc/561\XYZ/844</t>
  </si>
  <si>
    <t>grtcd/148\HMSNXY/424</t>
  </si>
  <si>
    <t>cde/478\VHMSNX/648</t>
  </si>
  <si>
    <t>agrtc/410\XYZ/496</t>
  </si>
  <si>
    <t>grtcd/181\HMSNXY/963</t>
  </si>
  <si>
    <t>cde/530\VHMSNX/241</t>
  </si>
  <si>
    <t>agrtc/253\XYZ/754</t>
  </si>
  <si>
    <t>grtcd/497\HMSNXY/454</t>
  </si>
  <si>
    <t>cde/324\VHMSNX/371</t>
  </si>
  <si>
    <t>agrtc/541\XYZ/354</t>
  </si>
  <si>
    <t>grtcd/745\HMSNXY/969</t>
  </si>
  <si>
    <t>agrtc/878\XYZ/710</t>
  </si>
  <si>
    <t>grtcd/863\HMSNXY/209</t>
  </si>
  <si>
    <t>cde/573\VHMSNX/362</t>
  </si>
  <si>
    <t>agrtc/489\XYZ/896</t>
  </si>
  <si>
    <t>grtcd/763\HMSNXY/348</t>
  </si>
  <si>
    <t>cde/979\VHMSNX/760</t>
  </si>
  <si>
    <t>agrtc/643\XYZ/839</t>
  </si>
  <si>
    <t>grtcd/822\HMSNXY/654</t>
  </si>
  <si>
    <t>cde/447\VHMSNX/535</t>
  </si>
  <si>
    <t>agrtc/377\XYZ/390</t>
  </si>
  <si>
    <t>grtcd/505\HMSNXY/613</t>
  </si>
  <si>
    <t>cde/876\VHMSNX/539</t>
  </si>
  <si>
    <t>agrtc/901\XYZ/870</t>
  </si>
  <si>
    <t>grtcd/664\HMSNXY/430</t>
  </si>
  <si>
    <t>cde/940\VHMSNX/941</t>
  </si>
  <si>
    <t>agrtc/405\XYZ/495</t>
  </si>
  <si>
    <t>grtcd/362\HMSNXY/744</t>
  </si>
  <si>
    <t>cde/232\VHMSNX/680</t>
  </si>
  <si>
    <t>agrtc/702\XYZ/833</t>
  </si>
  <si>
    <t>grtcd/978\HMSNXY/735</t>
  </si>
  <si>
    <t>cde/342\VHMSNX/914</t>
  </si>
  <si>
    <t>agrtc/681\XYZ/614</t>
  </si>
  <si>
    <t>grtcd/241\HMSNXY/623</t>
  </si>
  <si>
    <t>agrtc/424\XYZ/147</t>
  </si>
  <si>
    <t>grtcd/324\HMSNXY/505</t>
  </si>
  <si>
    <t>cde/217\VHMSNX/882</t>
  </si>
  <si>
    <t>agrtc/113\XYZ/547</t>
  </si>
  <si>
    <t>grtcd/472\HMSNXY/309</t>
  </si>
  <si>
    <t>cde/441\VHMSNX/531</t>
  </si>
  <si>
    <t>agrtc/870\XYZ/108</t>
  </si>
  <si>
    <t>grtcd/293\HMSNXY/676</t>
  </si>
  <si>
    <t>Mixed values</t>
  </si>
  <si>
    <t>American Dates</t>
  </si>
  <si>
    <t>Numbers as text</t>
  </si>
  <si>
    <t>Micheál Martin, Ireland</t>
  </si>
  <si>
    <t>Dick Schoof, Netherlands</t>
  </si>
  <si>
    <t>Total Sale</t>
  </si>
  <si>
    <t>New Job Creation</t>
  </si>
  <si>
    <t>Basic If</t>
  </si>
  <si>
    <t>Next If</t>
  </si>
  <si>
    <t>If with Formula</t>
  </si>
  <si>
    <t>If with And</t>
  </si>
  <si>
    <t>And Test</t>
  </si>
  <si>
    <t>+ analogous to OR</t>
  </si>
  <si>
    <t>* analogous to AND</t>
  </si>
  <si>
    <t>If with And function embedded</t>
  </si>
  <si>
    <t>Xlookup</t>
  </si>
  <si>
    <t>If referring to correct VAT rate</t>
  </si>
  <si>
    <t>If with Xlookup embedded</t>
  </si>
  <si>
    <t>SORT</t>
  </si>
  <si>
    <t>FILTER</t>
  </si>
  <si>
    <t>Belgium</t>
  </si>
  <si>
    <t>Vatican</t>
  </si>
  <si>
    <t>Filter, with two conditions (both wrapped in brackets), multiplied by each other</t>
  </si>
  <si>
    <t>Test Split</t>
  </si>
  <si>
    <t>grtcd</t>
  </si>
  <si>
    <t>agrtc</t>
  </si>
  <si>
    <t>To hard-code data from formulas:</t>
  </si>
  <si>
    <t>Select area</t>
  </si>
  <si>
    <t>Copy</t>
  </si>
  <si>
    <t>With same area selected, paste, and choose paste values</t>
  </si>
  <si>
    <t>Day formula</t>
  </si>
  <si>
    <t>year</t>
  </si>
  <si>
    <t>grtcd/574/HMSNXY/244</t>
  </si>
  <si>
    <t>cde/294/VHMSNX/840</t>
  </si>
  <si>
    <t>agrtc/653/XYZ/426</t>
  </si>
  <si>
    <t>grtcd/152/HMSNXY/751</t>
  </si>
  <si>
    <t>cde/395/VHMSNX/365</t>
  </si>
  <si>
    <t>agrtc/675/XYZ/349</t>
  </si>
  <si>
    <t>08765456</t>
  </si>
  <si>
    <t>Spills!B5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</si>
</sst>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mmm\ yyyy"/>
    <numFmt numFmtId="166" formatCode="d\ mmm\ yyyy"/>
  </numFmts>
  <fonts count="1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name val="Segoe UI"/>
      <family val="2"/>
    </font>
    <font>
      <b/>
      <sz val="10"/>
      <name val="Segoe UI"/>
      <family val="2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5">
    <xf numFmtId="0" fontId="0" fillId="0" borderId="0"/>
    <xf numFmtId="9" fontId="3" fillId="0" borderId="0" applyFont="0" applyFill="0" applyBorder="0" applyAlignment="0" applyProtection="0"/>
    <xf numFmtId="0" fontId="7" fillId="0" borderId="0"/>
    <xf numFmtId="0" fontId="7" fillId="0" borderId="0"/>
    <xf numFmtId="0" fontId="11" fillId="0" borderId="0" applyNumberFormat="0" applyFill="0" applyBorder="0" applyAlignment="0" applyProtection="0"/>
  </cellStyleXfs>
  <cellXfs count="26">
    <xf numFmtId="0" fontId="0" fillId="0" borderId="0" xfId="0"/>
    <xf numFmtId="9" fontId="0" fillId="0" borderId="0" xfId="0" applyNumberFormat="1"/>
    <xf numFmtId="0" fontId="2" fillId="2" borderId="0" xfId="0" applyFont="1" applyFill="1"/>
    <xf numFmtId="0" fontId="2" fillId="3" borderId="0" xfId="0" applyFont="1" applyFill="1"/>
    <xf numFmtId="9" fontId="1" fillId="0" borderId="0" xfId="0" applyNumberFormat="1" applyFont="1"/>
    <xf numFmtId="0" fontId="4" fillId="0" borderId="0" xfId="0" applyFont="1"/>
    <xf numFmtId="164" fontId="0" fillId="0" borderId="0" xfId="1" applyNumberFormat="1" applyFont="1"/>
    <xf numFmtId="165" fontId="0" fillId="0" borderId="0" xfId="0" applyNumberFormat="1"/>
    <xf numFmtId="9" fontId="0" fillId="0" borderId="0" xfId="0" applyNumberFormat="1" applyProtection="1">
      <protection locked="0"/>
    </xf>
    <xf numFmtId="166" fontId="0" fillId="0" borderId="0" xfId="0" applyNumberFormat="1"/>
    <xf numFmtId="0" fontId="8" fillId="0" borderId="0" xfId="2" applyFont="1"/>
    <xf numFmtId="1" fontId="0" fillId="0" borderId="0" xfId="0" applyNumberFormat="1"/>
    <xf numFmtId="0" fontId="9" fillId="0" borderId="0" xfId="2" applyFont="1"/>
    <xf numFmtId="0" fontId="0" fillId="0" borderId="0" xfId="0" quotePrefix="1"/>
    <xf numFmtId="9" fontId="0" fillId="0" borderId="0" xfId="1" applyFont="1"/>
    <xf numFmtId="14" fontId="8" fillId="0" borderId="0" xfId="2" applyNumberFormat="1" applyFont="1"/>
    <xf numFmtId="0" fontId="8" fillId="0" borderId="0" xfId="2" quotePrefix="1" applyFont="1"/>
    <xf numFmtId="0" fontId="11" fillId="0" borderId="0" xfId="4"/>
    <xf numFmtId="0" fontId="0" fillId="5" borderId="1" xfId="0" applyFont="1" applyFill="1" applyBorder="1"/>
    <xf numFmtId="0" fontId="10" fillId="4" borderId="3" xfId="0" applyFont="1" applyFill="1" applyBorder="1"/>
    <xf numFmtId="0" fontId="10" fillId="4" borderId="4" xfId="0" applyFont="1" applyFill="1" applyBorder="1"/>
    <xf numFmtId="0" fontId="0" fillId="5" borderId="3" xfId="0" applyFont="1" applyFill="1" applyBorder="1"/>
    <xf numFmtId="9" fontId="0" fillId="5" borderId="4" xfId="0" applyNumberFormat="1" applyFont="1" applyFill="1" applyBorder="1"/>
    <xf numFmtId="0" fontId="0" fillId="0" borderId="3" xfId="0" applyFont="1" applyBorder="1"/>
    <xf numFmtId="9" fontId="0" fillId="0" borderId="4" xfId="0" applyNumberFormat="1" applyFont="1" applyBorder="1"/>
    <xf numFmtId="9" fontId="0" fillId="5" borderId="2" xfId="0" applyNumberFormat="1" applyFont="1" applyFill="1" applyBorder="1"/>
  </cellXfs>
  <cellStyles count="5">
    <cellStyle name="Comma 2" xfId="3" xr:uid="{1F4B1964-EFC9-4805-8C62-0A4B16FDF63B}"/>
    <cellStyle name="Hyperlink" xfId="4" builtinId="8"/>
    <cellStyle name="Normal" xfId="0" builtinId="0"/>
    <cellStyle name="Normal 2" xfId="2" xr:uid="{0C13486B-7747-4651-9AF3-4F0E716EECAE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0.xml"/><Relationship Id="rId18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chartsheet" Target="chartsheets/sheet2.xml"/><Relationship Id="rId12" Type="http://schemas.openxmlformats.org/officeDocument/2006/relationships/worksheet" Target="worksheets/sheet9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worksheet" Target="worksheets/sheet8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7.xml"/><Relationship Id="rId19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theme" Target="theme/theme1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2.pn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Economy!$E$2</c:f>
              <c:strCache>
                <c:ptCount val="1"/>
                <c:pt idx="0">
                  <c:v>New Job Creation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Economy!$C$3:$C$14</c:f>
              <c:numCache>
                <c:formatCode>mmm\ yyyy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Economy!$E$3:$E$14</c:f>
              <c:numCache>
                <c:formatCode>General</c:formatCode>
                <c:ptCount val="12"/>
                <c:pt idx="0">
                  <c:v>9360</c:v>
                </c:pt>
                <c:pt idx="1">
                  <c:v>10200</c:v>
                </c:pt>
                <c:pt idx="2">
                  <c:v>8470</c:v>
                </c:pt>
                <c:pt idx="3">
                  <c:v>7919.9999999999991</c:v>
                </c:pt>
                <c:pt idx="4">
                  <c:v>7920</c:v>
                </c:pt>
                <c:pt idx="5">
                  <c:v>5489.9999999999991</c:v>
                </c:pt>
                <c:pt idx="6">
                  <c:v>6380</c:v>
                </c:pt>
                <c:pt idx="7">
                  <c:v>5040</c:v>
                </c:pt>
                <c:pt idx="8">
                  <c:v>5760.0000000000009</c:v>
                </c:pt>
                <c:pt idx="9">
                  <c:v>5100</c:v>
                </c:pt>
                <c:pt idx="10">
                  <c:v>4290</c:v>
                </c:pt>
                <c:pt idx="11">
                  <c:v>4600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3-4C5E-A031-44111A4A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9032512"/>
        <c:axId val="1189032992"/>
      </c:barChart>
      <c:dateAx>
        <c:axId val="1189032512"/>
        <c:scaling>
          <c:orientation val="minMax"/>
        </c:scaling>
        <c:delete val="0"/>
        <c:axPos val="b"/>
        <c:numFmt formatCode="mmm\ 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032992"/>
        <c:crosses val="autoZero"/>
        <c:auto val="1"/>
        <c:lblOffset val="100"/>
        <c:baseTimeUnit val="months"/>
      </c:dateAx>
      <c:valAx>
        <c:axId val="118903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032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Economy!$E$2</c:f>
              <c:strCache>
                <c:ptCount val="1"/>
                <c:pt idx="0">
                  <c:v>New Job Creation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Economy!$C$3:$C$14</c:f>
              <c:numCache>
                <c:formatCode>mmm\ yyyy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Economy!$E$3:$E$14</c:f>
              <c:numCache>
                <c:formatCode>General</c:formatCode>
                <c:ptCount val="12"/>
                <c:pt idx="0">
                  <c:v>9360</c:v>
                </c:pt>
                <c:pt idx="1">
                  <c:v>10200</c:v>
                </c:pt>
                <c:pt idx="2">
                  <c:v>8470</c:v>
                </c:pt>
                <c:pt idx="3">
                  <c:v>7919.9999999999991</c:v>
                </c:pt>
                <c:pt idx="4">
                  <c:v>7920</c:v>
                </c:pt>
                <c:pt idx="5">
                  <c:v>5489.9999999999991</c:v>
                </c:pt>
                <c:pt idx="6">
                  <c:v>6380</c:v>
                </c:pt>
                <c:pt idx="7">
                  <c:v>5040</c:v>
                </c:pt>
                <c:pt idx="8">
                  <c:v>5760.0000000000009</c:v>
                </c:pt>
                <c:pt idx="9">
                  <c:v>5100</c:v>
                </c:pt>
                <c:pt idx="10">
                  <c:v>4290</c:v>
                </c:pt>
                <c:pt idx="11">
                  <c:v>4600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E-4A16-93FB-9D1ABDD99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82051760"/>
        <c:axId val="1482049360"/>
      </c:barChart>
      <c:lineChart>
        <c:grouping val="standard"/>
        <c:varyColors val="0"/>
        <c:ser>
          <c:idx val="0"/>
          <c:order val="0"/>
          <c:tx>
            <c:strRef>
              <c:f>Economy!$D$2</c:f>
              <c:strCache>
                <c:ptCount val="1"/>
                <c:pt idx="0">
                  <c:v>Inflation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Economy!$C$3:$C$14</c:f>
              <c:numCache>
                <c:formatCode>mmm\ yyyy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Economy!$D$3:$D$14</c:f>
              <c:numCache>
                <c:formatCode>0.0%</c:formatCode>
                <c:ptCount val="12"/>
                <c:pt idx="0">
                  <c:v>7.8E-2</c:v>
                </c:pt>
                <c:pt idx="1">
                  <c:v>8.5000000000000006E-2</c:v>
                </c:pt>
                <c:pt idx="2">
                  <c:v>7.6999999999999999E-2</c:v>
                </c:pt>
                <c:pt idx="3">
                  <c:v>7.1999999999999995E-2</c:v>
                </c:pt>
                <c:pt idx="4">
                  <c:v>6.6000000000000003E-2</c:v>
                </c:pt>
                <c:pt idx="5">
                  <c:v>6.0999999999999999E-2</c:v>
                </c:pt>
                <c:pt idx="6">
                  <c:v>5.8000000000000003E-2</c:v>
                </c:pt>
                <c:pt idx="7">
                  <c:v>6.3E-2</c:v>
                </c:pt>
                <c:pt idx="8">
                  <c:v>6.4000000000000001E-2</c:v>
                </c:pt>
                <c:pt idx="9">
                  <c:v>5.0999999999999997E-2</c:v>
                </c:pt>
                <c:pt idx="10">
                  <c:v>3.9E-2</c:v>
                </c:pt>
                <c:pt idx="11">
                  <c:v>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1E-4A16-93FB-9D1ABDD99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980192"/>
        <c:axId val="1188981632"/>
      </c:lineChart>
      <c:dateAx>
        <c:axId val="1188980192"/>
        <c:scaling>
          <c:orientation val="minMax"/>
        </c:scaling>
        <c:delete val="0"/>
        <c:axPos val="b"/>
        <c:numFmt formatCode="mmm\ 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8981632"/>
        <c:crosses val="autoZero"/>
        <c:auto val="1"/>
        <c:lblOffset val="100"/>
        <c:baseTimeUnit val="months"/>
      </c:dateAx>
      <c:valAx>
        <c:axId val="11889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8980192"/>
        <c:crosses val="autoZero"/>
        <c:crossBetween val="between"/>
      </c:valAx>
      <c:valAx>
        <c:axId val="14820493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2051760"/>
        <c:crosses val="max"/>
        <c:crossBetween val="between"/>
      </c:valAx>
      <c:dateAx>
        <c:axId val="1482051760"/>
        <c:scaling>
          <c:orientation val="minMax"/>
        </c:scaling>
        <c:delete val="1"/>
        <c:axPos val="b"/>
        <c:numFmt formatCode="mmm\ yyyy" sourceLinked="1"/>
        <c:majorTickMark val="out"/>
        <c:minorTickMark val="none"/>
        <c:tickLblPos val="nextTo"/>
        <c:crossAx val="1482049360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20"/>
      <c:rotY val="11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'Washing Powder'!$G$4</c:f>
              <c:strCache>
                <c:ptCount val="1"/>
                <c:pt idx="0">
                  <c:v>Market Share</c:v>
                </c:pt>
              </c:strCache>
            </c:strRef>
          </c:tx>
          <c:dPt>
            <c:idx val="0"/>
            <c:bubble3D val="0"/>
            <c:explosion val="19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4F0A-475A-801B-D7D623F63155}"/>
              </c:ext>
            </c:extLst>
          </c:dPt>
          <c:dPt>
            <c:idx val="1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4F0A-475A-801B-D7D623F631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4F0A-475A-801B-D7D623F63155}"/>
              </c:ext>
            </c:extLst>
          </c:dPt>
          <c:cat>
            <c:strRef>
              <c:f>'Washing Powder'!$F$5:$F$9</c:f>
              <c:strCache>
                <c:ptCount val="5"/>
                <c:pt idx="0">
                  <c:v>Fairy</c:v>
                </c:pt>
                <c:pt idx="1">
                  <c:v>Bold</c:v>
                </c:pt>
                <c:pt idx="2">
                  <c:v>Daz</c:v>
                </c:pt>
                <c:pt idx="3">
                  <c:v>Ariel</c:v>
                </c:pt>
                <c:pt idx="4">
                  <c:v>Surf</c:v>
                </c:pt>
              </c:strCache>
            </c:strRef>
          </c:cat>
          <c:val>
            <c:numRef>
              <c:f>'Washing Powder'!$G$5:$G$9</c:f>
              <c:numCache>
                <c:formatCode>0%</c:formatCode>
                <c:ptCount val="5"/>
                <c:pt idx="0">
                  <c:v>0.15503875968992201</c:v>
                </c:pt>
                <c:pt idx="1">
                  <c:v>0.27131782945736399</c:v>
                </c:pt>
                <c:pt idx="2">
                  <c:v>0.170542635658915</c:v>
                </c:pt>
                <c:pt idx="3">
                  <c:v>0.28682170542635699</c:v>
                </c:pt>
                <c:pt idx="4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A-475A-801B-D7D623F63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2-DCE0-4042-AF9B-39D736833CD8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4-DCE0-4042-AF9B-39D736833CD8}"/>
              </c:ext>
            </c:extLst>
          </c:dPt>
          <c:cat>
            <c:strRef>
              <c:f>'Magic Chart'!$D$3:$E$3</c:f>
              <c:strCache>
                <c:ptCount val="2"/>
                <c:pt idx="0">
                  <c:v>Happy</c:v>
                </c:pt>
                <c:pt idx="1">
                  <c:v>Unhappy</c:v>
                </c:pt>
              </c:strCache>
            </c:strRef>
          </c:cat>
          <c:val>
            <c:numRef>
              <c:f>'Magic Chart'!$D$4:$E$4</c:f>
              <c:numCache>
                <c:formatCode>0%</c:formatCode>
                <c:ptCount val="2"/>
                <c:pt idx="0">
                  <c:v>0.79</c:v>
                </c:pt>
                <c:pt idx="1">
                  <c:v>0.20999999999999996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0-4042-AF9B-39D736833CD8}"/>
            </c:ext>
          </c:extLst>
        </c:ser>
        <c:ser>
          <c:idx val="1"/>
          <c:order val="1"/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3-DCE0-4042-AF9B-39D736833CD8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5-DCE0-4042-AF9B-39D736833CD8}"/>
              </c:ext>
            </c:extLst>
          </c:dPt>
          <c:cat>
            <c:strRef>
              <c:f>'Magic Chart'!$D$3:$E$3</c:f>
              <c:strCache>
                <c:ptCount val="2"/>
                <c:pt idx="0">
                  <c:v>Happy</c:v>
                </c:pt>
                <c:pt idx="1">
                  <c:v>Unhappy</c:v>
                </c:pt>
              </c:strCache>
            </c:strRef>
          </c:cat>
          <c:val>
            <c:numRef>
              <c:f>'Magic Chart'!$D$5:$E$5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0-4042-AF9B-39D73683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28126927"/>
        <c:axId val="810011311"/>
      </c:barChart>
      <c:catAx>
        <c:axId val="8281269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10011311"/>
        <c:crosses val="autoZero"/>
        <c:auto val="1"/>
        <c:lblAlgn val="ctr"/>
        <c:lblOffset val="100"/>
        <c:noMultiLvlLbl val="0"/>
      </c:catAx>
      <c:valAx>
        <c:axId val="810011311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8281269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A723947-2F28-461F-B0E2-81380CACD224}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3381813-0300-4D21-9F81-FB773EAD87B7}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C19DA80-70DC-4C1A-B0B7-479069F26E9B}">
  <sheetPr/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7427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DFBF77-BEAE-5CF6-3FCB-C5AFA634851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7427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C97E49-8BE4-6E19-6D1A-3949AF174BC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7427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CA23E2-D632-8AB2-2A5E-E3BBB6F7C74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252411</xdr:colOff>
      <xdr:row>6</xdr:row>
      <xdr:rowOff>171450</xdr:rowOff>
    </xdr:from>
    <xdr:to>
      <xdr:col>10</xdr:col>
      <xdr:colOff>228600</xdr:colOff>
      <xdr:row>28</xdr:row>
      <xdr:rowOff>47625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49AB3A3C-8E12-869F-C169-2860259556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6">
  <rv s="0">
    <v>5/26/2021</v>
    <v>2</v>
    <v>67</v>
    <v>5</v>
  </rv>
  <rv s="0">
    <v>5/26/2021</v>
    <v>2</v>
    <v>68</v>
    <v>5</v>
  </rv>
  <rv s="0">
    <v>5/26/2021</v>
    <v>2</v>
    <v>69</v>
    <v>5</v>
  </rv>
  <rv s="1">
    <v>2</v>
    <v>65</v>
    <v>1</v>
  </rv>
  <rv s="0">
    <v>4/24/2021</v>
    <v>2</v>
    <v>67</v>
    <v>5</v>
  </rv>
  <rv s="0">
    <v>4/24/2021</v>
    <v>2</v>
    <v>68</v>
    <v>5</v>
  </rv>
  <rv s="0">
    <v>4/24/2021</v>
    <v>2</v>
    <v>69</v>
    <v>5</v>
  </rv>
  <rv s="0">
    <v>2/27/2021</v>
    <v>2</v>
    <v>67</v>
    <v>5</v>
  </rv>
  <rv s="0">
    <v>2/27/2021</v>
    <v>2</v>
    <v>68</v>
    <v>5</v>
  </rv>
  <rv s="0">
    <v>2/27/2021</v>
    <v>2</v>
    <v>69</v>
    <v>5</v>
  </rv>
  <rv s="0">
    <v>8/16/2022</v>
    <v>2</v>
    <v>67</v>
    <v>5</v>
  </rv>
  <rv s="0">
    <v>8/16/2022</v>
    <v>2</v>
    <v>68</v>
    <v>5</v>
  </rv>
  <rv s="0">
    <v>8/16/2022</v>
    <v>2</v>
    <v>69</v>
    <v>5</v>
  </rv>
  <rv s="0">
    <v>3/25/2021</v>
    <v>2</v>
    <v>67</v>
    <v>5</v>
  </rv>
  <rv s="0">
    <v>3/25/2021</v>
    <v>2</v>
    <v>68</v>
    <v>5</v>
  </rv>
  <rv s="0">
    <v>3/25/2021</v>
    <v>2</v>
    <v>69</v>
    <v>5</v>
  </rv>
</rvData>
</file>

<file path=xl/richData/rdrichvaluestructure.xml><?xml version="1.0" encoding="utf-8"?>
<rvStructures xmlns="http://schemas.microsoft.com/office/spreadsheetml/2017/richdata" count="2">
  <s t="_error">
    <k n="argument" t="s"/>
    <k n="errorType" t="i"/>
    <k n="iftab" t="i"/>
    <k n="subType" t="i"/>
  </s>
  <s t="_error">
    <k n="errorType" t="i"/>
    <k n="iftab" t="i"/>
    <k n="propagated" t="b"/>
  </s>
</rvStructure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FD79C-7F6D-4A31-AFDA-0ED0E36E3D20}">
  <sheetPr codeName="Sheet1"/>
  <dimension ref="A1:Z701"/>
  <sheetViews>
    <sheetView tabSelected="1" zoomScaleNormal="100" workbookViewId="0">
      <selection activeCell="I14" sqref="I14"/>
    </sheetView>
  </sheetViews>
  <sheetFormatPr defaultRowHeight="15" x14ac:dyDescent="0.25"/>
  <cols>
    <col min="1" max="1" width="6" bestFit="1" customWidth="1"/>
    <col min="2" max="2" width="12" bestFit="1" customWidth="1"/>
    <col min="3" max="3" width="9.28515625" bestFit="1" customWidth="1"/>
    <col min="4" max="4" width="9.85546875" bestFit="1" customWidth="1"/>
    <col min="5" max="5" width="9.7109375" bestFit="1" customWidth="1"/>
    <col min="6" max="6" width="9.5703125" bestFit="1" customWidth="1"/>
    <col min="7" max="7" width="10.85546875" bestFit="1" customWidth="1"/>
    <col min="8" max="8" width="7.5703125" bestFit="1" customWidth="1"/>
    <col min="9" max="9" width="10" bestFit="1" customWidth="1"/>
    <col min="10" max="10" width="11.5703125" bestFit="1" customWidth="1"/>
    <col min="11" max="11" width="13.7109375" bestFit="1" customWidth="1"/>
    <col min="12" max="12" width="16.28515625" bestFit="1" customWidth="1"/>
    <col min="13" max="13" width="15.140625" bestFit="1" customWidth="1"/>
  </cols>
  <sheetData>
    <row r="1" spans="1:26" x14ac:dyDescent="0.25">
      <c r="A1" t="s">
        <v>59</v>
      </c>
      <c r="B1" t="s">
        <v>17</v>
      </c>
      <c r="C1" t="s">
        <v>18</v>
      </c>
      <c r="D1" t="s">
        <v>20</v>
      </c>
      <c r="E1" t="s">
        <v>74</v>
      </c>
      <c r="F1" t="s">
        <v>21</v>
      </c>
      <c r="G1" t="s">
        <v>341</v>
      </c>
      <c r="H1" t="s">
        <v>75</v>
      </c>
      <c r="I1" t="s">
        <v>22</v>
      </c>
      <c r="J1" t="s">
        <v>23</v>
      </c>
      <c r="K1" t="s">
        <v>19</v>
      </c>
      <c r="L1" t="s">
        <v>16</v>
      </c>
      <c r="M1" t="s">
        <v>343</v>
      </c>
      <c r="N1" t="s">
        <v>344</v>
      </c>
      <c r="O1" t="s">
        <v>345</v>
      </c>
      <c r="P1" t="s">
        <v>346</v>
      </c>
      <c r="Q1" t="s">
        <v>347</v>
      </c>
      <c r="R1" t="s">
        <v>350</v>
      </c>
      <c r="S1" t="s">
        <v>351</v>
      </c>
      <c r="T1" t="s">
        <v>352</v>
      </c>
      <c r="U1" t="s">
        <v>353</v>
      </c>
    </row>
    <row r="2" spans="1:26" x14ac:dyDescent="0.25">
      <c r="A2">
        <v>17410</v>
      </c>
      <c r="B2" t="s">
        <v>43</v>
      </c>
      <c r="C2" t="s">
        <v>35</v>
      </c>
      <c r="D2" s="11">
        <v>1514</v>
      </c>
      <c r="E2">
        <v>10.77</v>
      </c>
      <c r="F2">
        <v>17</v>
      </c>
      <c r="G2">
        <f>D2*F2</f>
        <v>25738</v>
      </c>
      <c r="H2" t="s">
        <v>72</v>
      </c>
      <c r="J2" s="9">
        <v>45360</v>
      </c>
      <c r="K2" t="s">
        <v>39</v>
      </c>
      <c r="L2" t="s">
        <v>28</v>
      </c>
      <c r="M2" t="str">
        <f>IF(L2="Government","Public Sector","Private Industry")</f>
        <v>Private Industry</v>
      </c>
      <c r="N2" t="str">
        <f>IF(D2&gt;1500,"Large Order","Small Order")</f>
        <v>Large Order</v>
      </c>
      <c r="O2">
        <f>IF(H2="Yes",G2*0.23,0)</f>
        <v>0</v>
      </c>
      <c r="P2">
        <f>IF(Q2,G2*0.23,0)</f>
        <v>0</v>
      </c>
      <c r="Q2" t="b">
        <f>AND(H2="Yes",L2&lt;&gt;"Government")</f>
        <v>0</v>
      </c>
      <c r="R2">
        <f>IF(AND(H2="Yes",L2&lt;&gt;"Government"),G2*0.23,0)</f>
        <v>0</v>
      </c>
      <c r="S2" s="14">
        <f>_xlfn.XLOOKUP(B2,Summary!$C$10:$C$15,Summary!$B$10:$B$15)</f>
        <v>0.21</v>
      </c>
      <c r="T2">
        <f>IF(AND(H2="Yes",L2&lt;&gt;"Government"),G2*(_xlfn.XLOOKUP(B2,Summary!$C$10:$C$15,Summary!$B$10:$B$15)),0)</f>
        <v>0</v>
      </c>
      <c r="U2">
        <f>IF(AND(H2="Yes",L2&lt;&gt;"Government"),G2*S2,0)</f>
        <v>0</v>
      </c>
    </row>
    <row r="3" spans="1:26" x14ac:dyDescent="0.25">
      <c r="A3">
        <v>64820</v>
      </c>
      <c r="B3" t="s">
        <v>43</v>
      </c>
      <c r="C3" t="s">
        <v>38</v>
      </c>
      <c r="D3" s="11">
        <v>579</v>
      </c>
      <c r="E3">
        <v>260.55</v>
      </c>
      <c r="F3">
        <v>305</v>
      </c>
      <c r="G3">
        <f t="shared" ref="G3:G66" si="0">D3*F3</f>
        <v>176595</v>
      </c>
      <c r="H3" t="s">
        <v>72</v>
      </c>
      <c r="J3" s="9">
        <v>45665</v>
      </c>
      <c r="K3" t="s">
        <v>41</v>
      </c>
      <c r="L3" t="s">
        <v>33</v>
      </c>
      <c r="M3" t="str">
        <f t="shared" ref="M3:M66" si="1">IF(L3="Government","Public Sector","Private Industry")</f>
        <v>Private Industry</v>
      </c>
      <c r="N3" t="str">
        <f t="shared" ref="N3:N66" si="2">IF(D3&gt;1500,"Large Order","Small Order")</f>
        <v>Small Order</v>
      </c>
      <c r="O3">
        <f t="shared" ref="O3:O66" si="3">IF(H3="Yes",G3*0.23,0)</f>
        <v>0</v>
      </c>
      <c r="P3">
        <f t="shared" ref="P3:P66" si="4">IF(Q3,G3*0.23,0)</f>
        <v>0</v>
      </c>
      <c r="Q3" t="b">
        <f t="shared" ref="Q3:Q66" si="5">AND(H3="Yes",L3&lt;&gt;"Government")</f>
        <v>0</v>
      </c>
      <c r="R3">
        <f t="shared" ref="R3:R66" si="6">IF(AND(H3="Yes",L3&lt;&gt;"Government"),G3*0.23,0)</f>
        <v>0</v>
      </c>
      <c r="S3" s="14">
        <f>_xlfn.XLOOKUP(B3,Summary!$C$10:$C$15,Summary!$B$10:$B$15)</f>
        <v>0.21</v>
      </c>
      <c r="T3">
        <f>IF(AND(H3="Yes",L3&lt;&gt;"Government"),G3*(_xlfn.XLOOKUP(B3,Summary!$C$10:$C$15,Summary!$B$10:$B$15)),0)</f>
        <v>0</v>
      </c>
    </row>
    <row r="4" spans="1:26" x14ac:dyDescent="0.25">
      <c r="A4">
        <v>64975</v>
      </c>
      <c r="B4" t="s">
        <v>32</v>
      </c>
      <c r="C4" t="s">
        <v>36</v>
      </c>
      <c r="D4" s="11">
        <v>1500</v>
      </c>
      <c r="E4">
        <v>120.36</v>
      </c>
      <c r="F4">
        <v>121</v>
      </c>
      <c r="G4">
        <f t="shared" si="0"/>
        <v>181500</v>
      </c>
      <c r="H4" t="s">
        <v>71</v>
      </c>
      <c r="J4" s="9">
        <v>45378</v>
      </c>
      <c r="K4" t="s">
        <v>41</v>
      </c>
      <c r="L4" t="s">
        <v>34</v>
      </c>
      <c r="M4" t="str">
        <f t="shared" si="1"/>
        <v>Private Industry</v>
      </c>
      <c r="N4" t="str">
        <f t="shared" si="2"/>
        <v>Small Order</v>
      </c>
      <c r="O4">
        <f t="shared" si="3"/>
        <v>41745</v>
      </c>
      <c r="P4">
        <f t="shared" si="4"/>
        <v>41745</v>
      </c>
      <c r="Q4" t="b">
        <f t="shared" si="5"/>
        <v>1</v>
      </c>
      <c r="R4">
        <f t="shared" si="6"/>
        <v>41745</v>
      </c>
      <c r="S4" s="14">
        <f>_xlfn.XLOOKUP(B4,Summary!$C$10:$C$15,Summary!$B$10:$B$15)</f>
        <v>0.23</v>
      </c>
      <c r="T4">
        <f>IF(AND(H4="Yes",L4&lt;&gt;"Government"),G4*(_xlfn.XLOOKUP(B4,Summary!$C$10:$C$15,Summary!$B$10:$B$15)),0)</f>
        <v>41745</v>
      </c>
    </row>
    <row r="5" spans="1:26" x14ac:dyDescent="0.25">
      <c r="A5">
        <v>62831</v>
      </c>
      <c r="B5" t="s">
        <v>29</v>
      </c>
      <c r="C5" t="s">
        <v>38</v>
      </c>
      <c r="D5" s="11">
        <v>1190</v>
      </c>
      <c r="E5">
        <v>260.24</v>
      </c>
      <c r="F5">
        <v>334</v>
      </c>
      <c r="G5">
        <f t="shared" si="0"/>
        <v>397460</v>
      </c>
      <c r="H5" t="s">
        <v>71</v>
      </c>
      <c r="J5" s="9">
        <v>45386</v>
      </c>
      <c r="K5" t="s">
        <v>41</v>
      </c>
      <c r="L5" t="s">
        <v>24</v>
      </c>
      <c r="M5" t="str">
        <f t="shared" si="1"/>
        <v>Public Sector</v>
      </c>
      <c r="N5" t="str">
        <f t="shared" si="2"/>
        <v>Small Order</v>
      </c>
      <c r="O5">
        <f t="shared" si="3"/>
        <v>91415.8</v>
      </c>
      <c r="P5">
        <f t="shared" si="4"/>
        <v>0</v>
      </c>
      <c r="Q5" t="b">
        <f t="shared" si="5"/>
        <v>0</v>
      </c>
      <c r="R5">
        <f t="shared" si="6"/>
        <v>0</v>
      </c>
      <c r="S5" s="14">
        <f>_xlfn.XLOOKUP(B5,Summary!$C$10:$C$15,Summary!$B$10:$B$15)</f>
        <v>0.22</v>
      </c>
      <c r="T5">
        <f>IF(AND(H5="Yes",L5&lt;&gt;"Government"),G5*(_xlfn.XLOOKUP(B5,Summary!$C$10:$C$15,Summary!$B$10:$B$15)),0)</f>
        <v>0</v>
      </c>
      <c r="Y5" t="b">
        <f>2+2=4</f>
        <v>1</v>
      </c>
    </row>
    <row r="6" spans="1:26" x14ac:dyDescent="0.25">
      <c r="A6">
        <v>67207</v>
      </c>
      <c r="B6" t="s">
        <v>356</v>
      </c>
      <c r="C6" t="s">
        <v>37</v>
      </c>
      <c r="D6" s="11">
        <v>574</v>
      </c>
      <c r="E6">
        <v>250.26</v>
      </c>
      <c r="F6">
        <v>278</v>
      </c>
      <c r="G6">
        <f t="shared" si="0"/>
        <v>159572</v>
      </c>
      <c r="H6" t="s">
        <v>72</v>
      </c>
      <c r="J6" s="9">
        <v>45781</v>
      </c>
      <c r="K6" t="s">
        <v>40</v>
      </c>
      <c r="L6" t="s">
        <v>24</v>
      </c>
      <c r="M6" t="str">
        <f t="shared" si="1"/>
        <v>Public Sector</v>
      </c>
      <c r="N6" t="str">
        <f t="shared" si="2"/>
        <v>Small Order</v>
      </c>
      <c r="O6">
        <f t="shared" si="3"/>
        <v>0</v>
      </c>
      <c r="P6">
        <f t="shared" si="4"/>
        <v>0</v>
      </c>
      <c r="Q6" t="b">
        <f t="shared" si="5"/>
        <v>0</v>
      </c>
      <c r="R6">
        <f t="shared" si="6"/>
        <v>0</v>
      </c>
      <c r="S6" s="14" t="e">
        <f>_xlfn.XLOOKUP(B6,Summary!$C$10:$C$15,Summary!$B$10:$B$15)</f>
        <v>#N/A</v>
      </c>
      <c r="T6">
        <f>IF(AND(H6="Yes",L6&lt;&gt;"Government"),G6*(_xlfn.XLOOKUP(B6,Summary!$C$10:$C$15,Summary!$B$10:$B$15)),0)</f>
        <v>0</v>
      </c>
      <c r="Y6" t="b">
        <f>2+2=5</f>
        <v>0</v>
      </c>
    </row>
    <row r="7" spans="1:26" x14ac:dyDescent="0.25">
      <c r="A7">
        <v>82018</v>
      </c>
      <c r="B7" t="s">
        <v>27</v>
      </c>
      <c r="C7" t="s">
        <v>25</v>
      </c>
      <c r="D7" s="11">
        <v>2767</v>
      </c>
      <c r="E7">
        <v>3.9</v>
      </c>
      <c r="F7">
        <v>6</v>
      </c>
      <c r="G7">
        <f t="shared" si="0"/>
        <v>16602</v>
      </c>
      <c r="H7" t="s">
        <v>72</v>
      </c>
      <c r="J7" s="9">
        <v>45128</v>
      </c>
      <c r="K7" t="s">
        <v>41</v>
      </c>
      <c r="L7" t="s">
        <v>33</v>
      </c>
      <c r="M7" t="str">
        <f t="shared" si="1"/>
        <v>Private Industry</v>
      </c>
      <c r="N7" t="str">
        <f t="shared" si="2"/>
        <v>Large Order</v>
      </c>
      <c r="O7">
        <f t="shared" si="3"/>
        <v>0</v>
      </c>
      <c r="P7">
        <f t="shared" si="4"/>
        <v>0</v>
      </c>
      <c r="Q7" t="b">
        <f t="shared" si="5"/>
        <v>0</v>
      </c>
      <c r="R7">
        <f t="shared" si="6"/>
        <v>0</v>
      </c>
      <c r="S7" s="14">
        <f>_xlfn.XLOOKUP(B7,Summary!$C$10:$C$15,Summary!$B$10:$B$15)</f>
        <v>0.19</v>
      </c>
      <c r="T7">
        <f>IF(AND(H7="Yes",L7&lt;&gt;"Government"),G7*(_xlfn.XLOOKUP(B7,Summary!$C$10:$C$15,Summary!$B$10:$B$15)),0)</f>
        <v>0</v>
      </c>
    </row>
    <row r="8" spans="1:26" x14ac:dyDescent="0.25">
      <c r="A8">
        <v>68622</v>
      </c>
      <c r="B8" t="s">
        <v>44</v>
      </c>
      <c r="C8" t="s">
        <v>37</v>
      </c>
      <c r="D8" s="11">
        <v>280</v>
      </c>
      <c r="E8">
        <v>250.33</v>
      </c>
      <c r="F8">
        <v>368</v>
      </c>
      <c r="G8">
        <f t="shared" si="0"/>
        <v>103040</v>
      </c>
      <c r="H8" t="s">
        <v>71</v>
      </c>
      <c r="J8" s="9">
        <v>45767</v>
      </c>
      <c r="K8" t="s">
        <v>41</v>
      </c>
      <c r="L8" t="s">
        <v>24</v>
      </c>
      <c r="M8" t="str">
        <f t="shared" si="1"/>
        <v>Public Sector</v>
      </c>
      <c r="N8" t="str">
        <f t="shared" si="2"/>
        <v>Small Order</v>
      </c>
      <c r="O8">
        <f t="shared" si="3"/>
        <v>23699.200000000001</v>
      </c>
      <c r="P8">
        <f t="shared" si="4"/>
        <v>0</v>
      </c>
      <c r="Q8" t="b">
        <f t="shared" si="5"/>
        <v>0</v>
      </c>
      <c r="R8">
        <f t="shared" si="6"/>
        <v>0</v>
      </c>
      <c r="S8" s="14">
        <f>_xlfn.XLOOKUP(B8,Summary!$C$10:$C$15,Summary!$B$10:$B$15)</f>
        <v>0.2</v>
      </c>
      <c r="T8">
        <f>IF(AND(H8="Yes",L8&lt;&gt;"Government"),G8*(_xlfn.XLOOKUP(B8,Summary!$C$10:$C$15,Summary!$B$10:$B$15)),0)</f>
        <v>0</v>
      </c>
    </row>
    <row r="9" spans="1:26" x14ac:dyDescent="0.25">
      <c r="A9">
        <v>13569</v>
      </c>
      <c r="B9" t="s">
        <v>44</v>
      </c>
      <c r="C9" t="s">
        <v>36</v>
      </c>
      <c r="D9" s="11">
        <v>655</v>
      </c>
      <c r="E9">
        <v>120.96</v>
      </c>
      <c r="F9">
        <v>150</v>
      </c>
      <c r="G9">
        <f t="shared" si="0"/>
        <v>98250</v>
      </c>
      <c r="H9" t="s">
        <v>71</v>
      </c>
      <c r="J9" s="9">
        <v>45641</v>
      </c>
      <c r="K9" t="s">
        <v>41</v>
      </c>
      <c r="L9" t="s">
        <v>28</v>
      </c>
      <c r="M9" t="str">
        <f t="shared" si="1"/>
        <v>Private Industry</v>
      </c>
      <c r="N9" t="str">
        <f t="shared" si="2"/>
        <v>Small Order</v>
      </c>
      <c r="O9">
        <f t="shared" si="3"/>
        <v>22597.5</v>
      </c>
      <c r="P9">
        <f t="shared" si="4"/>
        <v>22597.5</v>
      </c>
      <c r="Q9" t="b">
        <f t="shared" si="5"/>
        <v>1</v>
      </c>
      <c r="R9">
        <f t="shared" si="6"/>
        <v>22597.5</v>
      </c>
      <c r="S9" s="14">
        <f>_xlfn.XLOOKUP(B9,Summary!$C$10:$C$15,Summary!$B$10:$B$15)</f>
        <v>0.2</v>
      </c>
      <c r="T9">
        <f>IF(AND(H9="Yes",L9&lt;&gt;"Government"),G9*(_xlfn.XLOOKUP(B9,Summary!$C$10:$C$15,Summary!$B$10:$B$15)),0)</f>
        <v>19650</v>
      </c>
    </row>
    <row r="10" spans="1:26" x14ac:dyDescent="0.25">
      <c r="A10">
        <v>57344</v>
      </c>
      <c r="B10" t="s">
        <v>44</v>
      </c>
      <c r="C10" t="s">
        <v>35</v>
      </c>
      <c r="D10" s="11">
        <v>1389</v>
      </c>
      <c r="E10">
        <v>10.76</v>
      </c>
      <c r="F10">
        <v>12</v>
      </c>
      <c r="G10">
        <f t="shared" si="0"/>
        <v>16668</v>
      </c>
      <c r="H10" t="s">
        <v>71</v>
      </c>
      <c r="J10" s="9">
        <v>45427</v>
      </c>
      <c r="K10" t="s">
        <v>40</v>
      </c>
      <c r="L10" t="s">
        <v>24</v>
      </c>
      <c r="M10" t="str">
        <f t="shared" si="1"/>
        <v>Public Sector</v>
      </c>
      <c r="N10" t="str">
        <f t="shared" si="2"/>
        <v>Small Order</v>
      </c>
      <c r="O10">
        <f t="shared" si="3"/>
        <v>3833.6400000000003</v>
      </c>
      <c r="P10">
        <f t="shared" si="4"/>
        <v>0</v>
      </c>
      <c r="Q10" t="b">
        <f t="shared" si="5"/>
        <v>0</v>
      </c>
      <c r="R10">
        <f t="shared" si="6"/>
        <v>0</v>
      </c>
      <c r="S10" s="14">
        <f>_xlfn.XLOOKUP(B10,Summary!$C$10:$C$15,Summary!$B$10:$B$15)</f>
        <v>0.2</v>
      </c>
      <c r="T10">
        <f>IF(AND(H10="Yes",L10&lt;&gt;"Government"),G10*(_xlfn.XLOOKUP(B10,Summary!$C$10:$C$15,Summary!$B$10:$B$15)),0)</f>
        <v>0</v>
      </c>
      <c r="Z10" s="13" t="s">
        <v>348</v>
      </c>
    </row>
    <row r="11" spans="1:26" x14ac:dyDescent="0.25">
      <c r="A11">
        <v>28903</v>
      </c>
      <c r="B11" t="s">
        <v>29</v>
      </c>
      <c r="C11" t="s">
        <v>35</v>
      </c>
      <c r="D11" s="11">
        <v>2434</v>
      </c>
      <c r="E11">
        <v>10.63</v>
      </c>
      <c r="F11">
        <v>14</v>
      </c>
      <c r="G11">
        <f t="shared" si="0"/>
        <v>34076</v>
      </c>
      <c r="H11" t="s">
        <v>72</v>
      </c>
      <c r="J11" s="9">
        <v>45764</v>
      </c>
      <c r="K11" t="s">
        <v>39</v>
      </c>
      <c r="L11" t="s">
        <v>34</v>
      </c>
      <c r="M11" t="str">
        <f t="shared" si="1"/>
        <v>Private Industry</v>
      </c>
      <c r="N11" t="str">
        <f t="shared" si="2"/>
        <v>Large Order</v>
      </c>
      <c r="O11">
        <f t="shared" si="3"/>
        <v>0</v>
      </c>
      <c r="P11">
        <f t="shared" si="4"/>
        <v>0</v>
      </c>
      <c r="Q11" t="b">
        <f t="shared" si="5"/>
        <v>0</v>
      </c>
      <c r="R11">
        <f t="shared" si="6"/>
        <v>0</v>
      </c>
      <c r="S11" s="14">
        <f>_xlfn.XLOOKUP(B11,Summary!$C$10:$C$15,Summary!$B$10:$B$15)</f>
        <v>0.22</v>
      </c>
      <c r="T11">
        <f>IF(AND(H11="Yes",L11&lt;&gt;"Government"),G11*(_xlfn.XLOOKUP(B11,Summary!$C$10:$C$15,Summary!$B$10:$B$15)),0)</f>
        <v>0</v>
      </c>
      <c r="Z11" s="13" t="s">
        <v>349</v>
      </c>
    </row>
    <row r="12" spans="1:26" x14ac:dyDescent="0.25">
      <c r="A12">
        <v>50889</v>
      </c>
      <c r="B12" t="s">
        <v>43</v>
      </c>
      <c r="C12" t="s">
        <v>36</v>
      </c>
      <c r="D12" s="11">
        <v>1465</v>
      </c>
      <c r="E12">
        <v>120.51</v>
      </c>
      <c r="F12">
        <v>180</v>
      </c>
      <c r="G12">
        <f t="shared" si="0"/>
        <v>263700</v>
      </c>
      <c r="H12" t="s">
        <v>72</v>
      </c>
      <c r="J12" s="9">
        <v>45434</v>
      </c>
      <c r="K12" t="s">
        <v>39</v>
      </c>
      <c r="L12" t="s">
        <v>31</v>
      </c>
      <c r="M12" t="str">
        <f t="shared" si="1"/>
        <v>Private Industry</v>
      </c>
      <c r="N12" t="str">
        <f t="shared" si="2"/>
        <v>Small Order</v>
      </c>
      <c r="O12">
        <f t="shared" si="3"/>
        <v>0</v>
      </c>
      <c r="P12">
        <f t="shared" si="4"/>
        <v>0</v>
      </c>
      <c r="Q12" t="b">
        <f t="shared" si="5"/>
        <v>0</v>
      </c>
      <c r="R12">
        <f t="shared" si="6"/>
        <v>0</v>
      </c>
      <c r="S12" s="14">
        <f>_xlfn.XLOOKUP(B12,Summary!$C$10:$C$15,Summary!$B$10:$B$15)</f>
        <v>0.21</v>
      </c>
      <c r="T12">
        <f>IF(AND(H12="Yes",L12&lt;&gt;"Government"),G12*(_xlfn.XLOOKUP(B12,Summary!$C$10:$C$15,Summary!$B$10:$B$15)),0)</f>
        <v>0</v>
      </c>
      <c r="Z12">
        <f>(2+2=5)+(3+3=5)</f>
        <v>0</v>
      </c>
    </row>
    <row r="13" spans="1:26" x14ac:dyDescent="0.25">
      <c r="A13">
        <v>59600</v>
      </c>
      <c r="B13" t="s">
        <v>44</v>
      </c>
      <c r="C13" t="s">
        <v>37</v>
      </c>
      <c r="D13" s="11">
        <v>1496</v>
      </c>
      <c r="E13">
        <v>250.49</v>
      </c>
      <c r="F13">
        <v>296</v>
      </c>
      <c r="G13">
        <f t="shared" si="0"/>
        <v>442816</v>
      </c>
      <c r="H13" t="s">
        <v>71</v>
      </c>
      <c r="J13" s="9">
        <v>45097</v>
      </c>
      <c r="K13" t="s">
        <v>41</v>
      </c>
      <c r="L13" t="s">
        <v>34</v>
      </c>
      <c r="M13" t="str">
        <f t="shared" si="1"/>
        <v>Private Industry</v>
      </c>
      <c r="N13" t="str">
        <f t="shared" si="2"/>
        <v>Small Order</v>
      </c>
      <c r="O13">
        <f t="shared" si="3"/>
        <v>101847.68000000001</v>
      </c>
      <c r="P13">
        <f t="shared" si="4"/>
        <v>101847.68000000001</v>
      </c>
      <c r="Q13" t="b">
        <f t="shared" si="5"/>
        <v>1</v>
      </c>
      <c r="R13">
        <f t="shared" si="6"/>
        <v>101847.68000000001</v>
      </c>
      <c r="S13" s="14">
        <f>_xlfn.XLOOKUP(B13,Summary!$C$10:$C$15,Summary!$B$10:$B$15)</f>
        <v>0.2</v>
      </c>
      <c r="T13">
        <f>IF(AND(H13="Yes",L13&lt;&gt;"Government"),G13*(_xlfn.XLOOKUP(B13,Summary!$C$10:$C$15,Summary!$B$10:$B$15)),0)</f>
        <v>88563.200000000012</v>
      </c>
    </row>
    <row r="14" spans="1:26" x14ac:dyDescent="0.25">
      <c r="A14">
        <v>44066</v>
      </c>
      <c r="B14" t="s">
        <v>27</v>
      </c>
      <c r="C14" t="s">
        <v>38</v>
      </c>
      <c r="D14" s="11">
        <v>2574</v>
      </c>
      <c r="E14">
        <v>260.58999999999997</v>
      </c>
      <c r="F14">
        <v>378</v>
      </c>
      <c r="G14">
        <f t="shared" si="0"/>
        <v>972972</v>
      </c>
      <c r="H14" t="s">
        <v>71</v>
      </c>
      <c r="J14" s="9">
        <v>45400</v>
      </c>
      <c r="K14" t="s">
        <v>41</v>
      </c>
      <c r="L14" t="s">
        <v>31</v>
      </c>
      <c r="M14" t="str">
        <f t="shared" si="1"/>
        <v>Private Industry</v>
      </c>
      <c r="N14" t="str">
        <f t="shared" si="2"/>
        <v>Large Order</v>
      </c>
      <c r="O14">
        <f t="shared" si="3"/>
        <v>223783.56</v>
      </c>
      <c r="P14">
        <f t="shared" si="4"/>
        <v>223783.56</v>
      </c>
      <c r="Q14" t="b">
        <f t="shared" si="5"/>
        <v>1</v>
      </c>
      <c r="R14">
        <f t="shared" si="6"/>
        <v>223783.56</v>
      </c>
      <c r="S14" s="14">
        <f>_xlfn.XLOOKUP(B14,Summary!$C$10:$C$15,Summary!$B$10:$B$15)</f>
        <v>0.19</v>
      </c>
      <c r="T14">
        <f>IF(AND(H14="Yes",L14&lt;&gt;"Government"),G14*(_xlfn.XLOOKUP(B14,Summary!$C$10:$C$15,Summary!$B$10:$B$15)),0)</f>
        <v>184864.68</v>
      </c>
    </row>
    <row r="15" spans="1:26" x14ac:dyDescent="0.25">
      <c r="A15">
        <v>13567</v>
      </c>
      <c r="B15" t="s">
        <v>43</v>
      </c>
      <c r="C15" t="s">
        <v>35</v>
      </c>
      <c r="D15" s="11">
        <v>2992</v>
      </c>
      <c r="E15">
        <v>10.67</v>
      </c>
      <c r="F15">
        <v>16</v>
      </c>
      <c r="G15">
        <f t="shared" si="0"/>
        <v>47872</v>
      </c>
      <c r="H15" t="s">
        <v>71</v>
      </c>
      <c r="J15" s="9">
        <v>45534</v>
      </c>
      <c r="K15" t="s">
        <v>40</v>
      </c>
      <c r="L15" t="s">
        <v>33</v>
      </c>
      <c r="M15" t="str">
        <f t="shared" si="1"/>
        <v>Private Industry</v>
      </c>
      <c r="N15" t="str">
        <f t="shared" si="2"/>
        <v>Large Order</v>
      </c>
      <c r="O15">
        <f t="shared" si="3"/>
        <v>11010.560000000001</v>
      </c>
      <c r="P15">
        <f t="shared" si="4"/>
        <v>11010.560000000001</v>
      </c>
      <c r="Q15" t="b">
        <f t="shared" si="5"/>
        <v>1</v>
      </c>
      <c r="R15">
        <f t="shared" si="6"/>
        <v>11010.560000000001</v>
      </c>
      <c r="S15" s="14">
        <f>_xlfn.XLOOKUP(B15,Summary!$C$10:$C$15,Summary!$B$10:$B$15)</f>
        <v>0.21</v>
      </c>
      <c r="T15">
        <f>IF(AND(H15="Yes",L15&lt;&gt;"Government"),G15*(_xlfn.XLOOKUP(B15,Summary!$C$10:$C$15,Summary!$B$10:$B$15)),0)</f>
        <v>10053.119999999999</v>
      </c>
    </row>
    <row r="16" spans="1:26" x14ac:dyDescent="0.25">
      <c r="A16">
        <v>95829</v>
      </c>
      <c r="B16" t="s">
        <v>27</v>
      </c>
      <c r="C16" t="s">
        <v>37</v>
      </c>
      <c r="D16" s="11">
        <v>2297</v>
      </c>
      <c r="E16">
        <v>250.3</v>
      </c>
      <c r="F16">
        <v>308</v>
      </c>
      <c r="G16">
        <f t="shared" si="0"/>
        <v>707476</v>
      </c>
      <c r="H16" t="s">
        <v>71</v>
      </c>
      <c r="J16" s="9">
        <v>45682</v>
      </c>
      <c r="K16" t="s">
        <v>40</v>
      </c>
      <c r="L16" t="s">
        <v>24</v>
      </c>
      <c r="M16" t="str">
        <f t="shared" si="1"/>
        <v>Public Sector</v>
      </c>
      <c r="N16" t="str">
        <f t="shared" si="2"/>
        <v>Large Order</v>
      </c>
      <c r="O16">
        <f t="shared" si="3"/>
        <v>162719.48000000001</v>
      </c>
      <c r="P16">
        <f t="shared" si="4"/>
        <v>0</v>
      </c>
      <c r="Q16" t="b">
        <f t="shared" si="5"/>
        <v>0</v>
      </c>
      <c r="R16">
        <f t="shared" si="6"/>
        <v>0</v>
      </c>
      <c r="S16" s="14">
        <f>_xlfn.XLOOKUP(B16,Summary!$C$10:$C$15,Summary!$B$10:$B$15)</f>
        <v>0.19</v>
      </c>
      <c r="T16">
        <f>IF(AND(H16="Yes",L16&lt;&gt;"Government"),G16*(_xlfn.XLOOKUP(B16,Summary!$C$10:$C$15,Summary!$B$10:$B$15)),0)</f>
        <v>0</v>
      </c>
    </row>
    <row r="17" spans="1:23" x14ac:dyDescent="0.25">
      <c r="A17">
        <v>40018</v>
      </c>
      <c r="B17" t="s">
        <v>29</v>
      </c>
      <c r="C17" t="s">
        <v>25</v>
      </c>
      <c r="D17" s="11">
        <v>2145</v>
      </c>
      <c r="E17">
        <v>3.7</v>
      </c>
      <c r="F17">
        <v>5</v>
      </c>
      <c r="G17">
        <f t="shared" si="0"/>
        <v>10725</v>
      </c>
      <c r="H17" t="s">
        <v>71</v>
      </c>
      <c r="J17" s="9">
        <v>45655</v>
      </c>
      <c r="K17" t="s">
        <v>39</v>
      </c>
      <c r="L17" t="s">
        <v>24</v>
      </c>
      <c r="M17" t="str">
        <f t="shared" si="1"/>
        <v>Public Sector</v>
      </c>
      <c r="N17" t="str">
        <f t="shared" si="2"/>
        <v>Large Order</v>
      </c>
      <c r="O17">
        <f t="shared" si="3"/>
        <v>2466.75</v>
      </c>
      <c r="P17">
        <f t="shared" si="4"/>
        <v>0</v>
      </c>
      <c r="Q17" t="b">
        <f t="shared" si="5"/>
        <v>0</v>
      </c>
      <c r="R17">
        <f t="shared" si="6"/>
        <v>0</v>
      </c>
      <c r="S17" s="14">
        <f>_xlfn.XLOOKUP(B17,Summary!$C$10:$C$15,Summary!$B$10:$B$15)</f>
        <v>0.22</v>
      </c>
      <c r="T17">
        <f>IF(AND(H17="Yes",L17&lt;&gt;"Government"),G17*(_xlfn.XLOOKUP(B17,Summary!$C$10:$C$15,Summary!$B$10:$B$15)),0)</f>
        <v>0</v>
      </c>
      <c r="W17" s="17" t="str">
        <f>HYPERLINK("www.irishtimes.com","Read the paper")</f>
        <v>Read the paper</v>
      </c>
    </row>
    <row r="18" spans="1:23" x14ac:dyDescent="0.25">
      <c r="A18">
        <v>53030</v>
      </c>
      <c r="B18" t="s">
        <v>43</v>
      </c>
      <c r="C18" t="s">
        <v>35</v>
      </c>
      <c r="D18" s="11">
        <v>2007</v>
      </c>
      <c r="E18">
        <v>10.55</v>
      </c>
      <c r="F18">
        <v>15</v>
      </c>
      <c r="G18">
        <f t="shared" si="0"/>
        <v>30105</v>
      </c>
      <c r="H18" t="s">
        <v>72</v>
      </c>
      <c r="J18" s="9">
        <v>45143</v>
      </c>
      <c r="K18" t="s">
        <v>41</v>
      </c>
      <c r="L18" t="s">
        <v>24</v>
      </c>
      <c r="M18" t="str">
        <f t="shared" si="1"/>
        <v>Public Sector</v>
      </c>
      <c r="N18" t="str">
        <f t="shared" si="2"/>
        <v>Large Order</v>
      </c>
      <c r="O18">
        <f t="shared" si="3"/>
        <v>0</v>
      </c>
      <c r="P18">
        <f t="shared" si="4"/>
        <v>0</v>
      </c>
      <c r="Q18" t="b">
        <f t="shared" si="5"/>
        <v>0</v>
      </c>
      <c r="R18">
        <f t="shared" si="6"/>
        <v>0</v>
      </c>
      <c r="S18" s="14">
        <f>_xlfn.XLOOKUP(B18,Summary!$C$10:$C$15,Summary!$B$10:$B$15)</f>
        <v>0.21</v>
      </c>
      <c r="T18">
        <f>IF(AND(H18="Yes",L18&lt;&gt;"Government"),G18*(_xlfn.XLOOKUP(B18,Summary!$C$10:$C$15,Summary!$B$10:$B$15)),0)</f>
        <v>0</v>
      </c>
    </row>
    <row r="19" spans="1:23" x14ac:dyDescent="0.25">
      <c r="A19">
        <v>35316</v>
      </c>
      <c r="B19" t="s">
        <v>357</v>
      </c>
      <c r="C19" t="s">
        <v>30</v>
      </c>
      <c r="D19" s="11">
        <v>1967</v>
      </c>
      <c r="E19">
        <v>5.79</v>
      </c>
      <c r="F19">
        <v>7</v>
      </c>
      <c r="G19">
        <f t="shared" si="0"/>
        <v>13769</v>
      </c>
      <c r="H19" t="s">
        <v>72</v>
      </c>
      <c r="J19" s="9">
        <v>45349</v>
      </c>
      <c r="K19" t="s">
        <v>39</v>
      </c>
      <c r="L19" t="s">
        <v>28</v>
      </c>
      <c r="M19" t="str">
        <f t="shared" si="1"/>
        <v>Private Industry</v>
      </c>
      <c r="N19" t="str">
        <f t="shared" si="2"/>
        <v>Large Order</v>
      </c>
      <c r="O19">
        <f t="shared" si="3"/>
        <v>0</v>
      </c>
      <c r="P19">
        <f t="shared" si="4"/>
        <v>0</v>
      </c>
      <c r="Q19" t="b">
        <f t="shared" si="5"/>
        <v>0</v>
      </c>
      <c r="R19">
        <f t="shared" si="6"/>
        <v>0</v>
      </c>
      <c r="S19" s="14" t="e">
        <f>_xlfn.XLOOKUP(B19,Summary!$C$10:$C$15,Summary!$B$10:$B$15)</f>
        <v>#N/A</v>
      </c>
      <c r="T19">
        <f>IF(AND(H19="Yes",L19&lt;&gt;"Government"),G19*(_xlfn.XLOOKUP(B19,Summary!$C$10:$C$15,Summary!$B$10:$B$15)),0)</f>
        <v>0</v>
      </c>
    </row>
    <row r="20" spans="1:23" x14ac:dyDescent="0.25">
      <c r="A20">
        <v>48433</v>
      </c>
      <c r="B20" t="s">
        <v>29</v>
      </c>
      <c r="C20" t="s">
        <v>38</v>
      </c>
      <c r="D20" s="11">
        <v>2076</v>
      </c>
      <c r="E20">
        <v>260.93</v>
      </c>
      <c r="F20">
        <v>321</v>
      </c>
      <c r="G20">
        <f t="shared" si="0"/>
        <v>666396</v>
      </c>
      <c r="H20" t="s">
        <v>72</v>
      </c>
      <c r="J20" s="9">
        <v>45370</v>
      </c>
      <c r="K20" t="s">
        <v>40</v>
      </c>
      <c r="L20" t="s">
        <v>24</v>
      </c>
      <c r="M20" t="str">
        <f t="shared" si="1"/>
        <v>Public Sector</v>
      </c>
      <c r="N20" t="str">
        <f t="shared" si="2"/>
        <v>Large Order</v>
      </c>
      <c r="O20">
        <f t="shared" si="3"/>
        <v>0</v>
      </c>
      <c r="P20">
        <f t="shared" si="4"/>
        <v>0</v>
      </c>
      <c r="Q20" t="b">
        <f t="shared" si="5"/>
        <v>0</v>
      </c>
      <c r="R20">
        <f t="shared" si="6"/>
        <v>0</v>
      </c>
      <c r="S20" s="14">
        <f>_xlfn.XLOOKUP(B20,Summary!$C$10:$C$15,Summary!$B$10:$B$15)</f>
        <v>0.22</v>
      </c>
      <c r="T20">
        <f>IF(AND(H20="Yes",L20&lt;&gt;"Government"),G20*(_xlfn.XLOOKUP(B20,Summary!$C$10:$C$15,Summary!$B$10:$B$15)),0)</f>
        <v>0</v>
      </c>
      <c r="W20" s="17" t="s">
        <v>375</v>
      </c>
    </row>
    <row r="21" spans="1:23" x14ac:dyDescent="0.25">
      <c r="A21">
        <v>64530</v>
      </c>
      <c r="B21" t="s">
        <v>42</v>
      </c>
      <c r="C21" t="s">
        <v>36</v>
      </c>
      <c r="D21" s="11">
        <v>1333</v>
      </c>
      <c r="E21">
        <v>120.39</v>
      </c>
      <c r="F21">
        <v>135</v>
      </c>
      <c r="G21">
        <f t="shared" si="0"/>
        <v>179955</v>
      </c>
      <c r="H21" t="s">
        <v>72</v>
      </c>
      <c r="J21" s="9">
        <v>45070</v>
      </c>
      <c r="K21" t="s">
        <v>40</v>
      </c>
      <c r="L21" t="s">
        <v>24</v>
      </c>
      <c r="M21" t="str">
        <f t="shared" si="1"/>
        <v>Public Sector</v>
      </c>
      <c r="N21" t="str">
        <f t="shared" si="2"/>
        <v>Small Order</v>
      </c>
      <c r="O21">
        <f t="shared" si="3"/>
        <v>0</v>
      </c>
      <c r="P21">
        <f t="shared" si="4"/>
        <v>0</v>
      </c>
      <c r="Q21" t="b">
        <f t="shared" si="5"/>
        <v>0</v>
      </c>
      <c r="R21">
        <f t="shared" si="6"/>
        <v>0</v>
      </c>
      <c r="S21" s="14">
        <f>_xlfn.XLOOKUP(B21,Summary!$C$10:$C$15,Summary!$B$10:$B$15)</f>
        <v>0.24</v>
      </c>
      <c r="T21">
        <f>IF(AND(H21="Yes",L21&lt;&gt;"Government"),G21*(_xlfn.XLOOKUP(B21,Summary!$C$10:$C$15,Summary!$B$10:$B$15)),0)</f>
        <v>0</v>
      </c>
    </row>
    <row r="22" spans="1:23" x14ac:dyDescent="0.25">
      <c r="A22">
        <v>96672</v>
      </c>
      <c r="B22" t="s">
        <v>27</v>
      </c>
      <c r="C22" t="s">
        <v>35</v>
      </c>
      <c r="D22" s="11">
        <v>1013</v>
      </c>
      <c r="E22">
        <v>10.19</v>
      </c>
      <c r="F22">
        <v>15</v>
      </c>
      <c r="G22">
        <f t="shared" si="0"/>
        <v>15195</v>
      </c>
      <c r="H22" t="s">
        <v>72</v>
      </c>
      <c r="J22" s="9">
        <v>45235</v>
      </c>
      <c r="K22" t="s">
        <v>41</v>
      </c>
      <c r="L22" t="s">
        <v>31</v>
      </c>
      <c r="M22" t="str">
        <f t="shared" si="1"/>
        <v>Private Industry</v>
      </c>
      <c r="N22" t="str">
        <f t="shared" si="2"/>
        <v>Small Order</v>
      </c>
      <c r="O22">
        <f t="shared" si="3"/>
        <v>0</v>
      </c>
      <c r="P22">
        <f t="shared" si="4"/>
        <v>0</v>
      </c>
      <c r="Q22" t="b">
        <f t="shared" si="5"/>
        <v>0</v>
      </c>
      <c r="R22">
        <f t="shared" si="6"/>
        <v>0</v>
      </c>
      <c r="S22" s="14">
        <f>_xlfn.XLOOKUP(B22,Summary!$C$10:$C$15,Summary!$B$10:$B$15)</f>
        <v>0.19</v>
      </c>
      <c r="T22">
        <f>IF(AND(H22="Yes",L22&lt;&gt;"Government"),G22*(_xlfn.XLOOKUP(B22,Summary!$C$10:$C$15,Summary!$B$10:$B$15)),0)</f>
        <v>0</v>
      </c>
    </row>
    <row r="23" spans="1:23" x14ac:dyDescent="0.25">
      <c r="A23">
        <v>55445</v>
      </c>
      <c r="B23" t="s">
        <v>32</v>
      </c>
      <c r="C23" t="s">
        <v>38</v>
      </c>
      <c r="D23" s="11">
        <v>2750</v>
      </c>
      <c r="E23">
        <v>260.17</v>
      </c>
      <c r="F23">
        <v>261</v>
      </c>
      <c r="G23">
        <f t="shared" si="0"/>
        <v>717750</v>
      </c>
      <c r="H23" t="s">
        <v>72</v>
      </c>
      <c r="J23" s="9">
        <v>45108</v>
      </c>
      <c r="K23" t="s">
        <v>26</v>
      </c>
      <c r="L23" t="s">
        <v>24</v>
      </c>
      <c r="M23" t="str">
        <f t="shared" si="1"/>
        <v>Public Sector</v>
      </c>
      <c r="N23" t="str">
        <f t="shared" si="2"/>
        <v>Large Order</v>
      </c>
      <c r="O23">
        <f t="shared" si="3"/>
        <v>0</v>
      </c>
      <c r="P23">
        <f t="shared" si="4"/>
        <v>0</v>
      </c>
      <c r="Q23" t="b">
        <f t="shared" si="5"/>
        <v>0</v>
      </c>
      <c r="R23">
        <f t="shared" si="6"/>
        <v>0</v>
      </c>
      <c r="S23" s="14">
        <f>_xlfn.XLOOKUP(B23,Summary!$C$10:$C$15,Summary!$B$10:$B$15)</f>
        <v>0.23</v>
      </c>
      <c r="T23">
        <f>IF(AND(H23="Yes",L23&lt;&gt;"Government"),G23*(_xlfn.XLOOKUP(B23,Summary!$C$10:$C$15,Summary!$B$10:$B$15)),0)</f>
        <v>0</v>
      </c>
    </row>
    <row r="24" spans="1:23" x14ac:dyDescent="0.25">
      <c r="A24">
        <v>46145</v>
      </c>
      <c r="B24" t="s">
        <v>27</v>
      </c>
      <c r="C24" t="s">
        <v>35</v>
      </c>
      <c r="D24" s="11">
        <v>1775</v>
      </c>
      <c r="E24">
        <v>11</v>
      </c>
      <c r="F24">
        <v>15</v>
      </c>
      <c r="G24">
        <f t="shared" si="0"/>
        <v>26625</v>
      </c>
      <c r="H24" t="s">
        <v>71</v>
      </c>
      <c r="J24" s="9">
        <v>45414</v>
      </c>
      <c r="K24" t="s">
        <v>40</v>
      </c>
      <c r="L24" t="s">
        <v>31</v>
      </c>
      <c r="M24" t="str">
        <f t="shared" si="1"/>
        <v>Private Industry</v>
      </c>
      <c r="N24" t="str">
        <f t="shared" si="2"/>
        <v>Large Order</v>
      </c>
      <c r="O24">
        <f t="shared" si="3"/>
        <v>6123.75</v>
      </c>
      <c r="P24">
        <f t="shared" si="4"/>
        <v>6123.75</v>
      </c>
      <c r="Q24" t="b">
        <f t="shared" si="5"/>
        <v>1</v>
      </c>
      <c r="R24">
        <f t="shared" si="6"/>
        <v>6123.75</v>
      </c>
      <c r="S24" s="14">
        <f>_xlfn.XLOOKUP(B24,Summary!$C$10:$C$15,Summary!$B$10:$B$15)</f>
        <v>0.19</v>
      </c>
      <c r="T24">
        <f>IF(AND(H24="Yes",L24&lt;&gt;"Government"),G24*(_xlfn.XLOOKUP(B24,Summary!$C$10:$C$15,Summary!$B$10:$B$15)),0)</f>
        <v>5058.75</v>
      </c>
    </row>
    <row r="25" spans="1:23" x14ac:dyDescent="0.25">
      <c r="A25">
        <v>78783</v>
      </c>
      <c r="B25" t="s">
        <v>44</v>
      </c>
      <c r="C25" t="s">
        <v>35</v>
      </c>
      <c r="D25" s="11">
        <v>2363</v>
      </c>
      <c r="E25">
        <v>10.58</v>
      </c>
      <c r="F25">
        <v>16</v>
      </c>
      <c r="G25">
        <f t="shared" si="0"/>
        <v>37808</v>
      </c>
      <c r="H25" t="s">
        <v>71</v>
      </c>
      <c r="J25" s="9">
        <v>45768</v>
      </c>
      <c r="K25" t="s">
        <v>39</v>
      </c>
      <c r="L25" t="s">
        <v>28</v>
      </c>
      <c r="M25" t="str">
        <f t="shared" si="1"/>
        <v>Private Industry</v>
      </c>
      <c r="N25" t="str">
        <f t="shared" si="2"/>
        <v>Large Order</v>
      </c>
      <c r="O25">
        <f t="shared" si="3"/>
        <v>8695.84</v>
      </c>
      <c r="P25">
        <f t="shared" si="4"/>
        <v>8695.84</v>
      </c>
      <c r="Q25" t="b">
        <f t="shared" si="5"/>
        <v>1</v>
      </c>
      <c r="R25">
        <f t="shared" si="6"/>
        <v>8695.84</v>
      </c>
      <c r="S25" s="14">
        <f>_xlfn.XLOOKUP(B25,Summary!$C$10:$C$15,Summary!$B$10:$B$15)</f>
        <v>0.2</v>
      </c>
      <c r="T25">
        <f>IF(AND(H25="Yes",L25&lt;&gt;"Government"),G25*(_xlfn.XLOOKUP(B25,Summary!$C$10:$C$15,Summary!$B$10:$B$15)),0)</f>
        <v>7561.6</v>
      </c>
    </row>
    <row r="26" spans="1:23" x14ac:dyDescent="0.25">
      <c r="A26">
        <v>87537</v>
      </c>
      <c r="B26" t="s">
        <v>44</v>
      </c>
      <c r="C26" t="s">
        <v>38</v>
      </c>
      <c r="D26" s="11">
        <v>1778</v>
      </c>
      <c r="E26">
        <v>260.02999999999997</v>
      </c>
      <c r="F26">
        <v>344</v>
      </c>
      <c r="G26">
        <f t="shared" si="0"/>
        <v>611632</v>
      </c>
      <c r="H26" t="s">
        <v>71</v>
      </c>
      <c r="J26" s="9">
        <v>45143</v>
      </c>
      <c r="K26" t="s">
        <v>39</v>
      </c>
      <c r="L26" t="s">
        <v>24</v>
      </c>
      <c r="M26" t="str">
        <f t="shared" si="1"/>
        <v>Public Sector</v>
      </c>
      <c r="N26" t="str">
        <f t="shared" si="2"/>
        <v>Large Order</v>
      </c>
      <c r="O26">
        <f t="shared" si="3"/>
        <v>140675.36000000002</v>
      </c>
      <c r="P26">
        <f t="shared" si="4"/>
        <v>0</v>
      </c>
      <c r="Q26" t="b">
        <f t="shared" si="5"/>
        <v>0</v>
      </c>
      <c r="R26">
        <f t="shared" si="6"/>
        <v>0</v>
      </c>
      <c r="S26" s="14">
        <f>_xlfn.XLOOKUP(B26,Summary!$C$10:$C$15,Summary!$B$10:$B$15)</f>
        <v>0.2</v>
      </c>
      <c r="T26">
        <f>IF(AND(H26="Yes",L26&lt;&gt;"Government"),G26*(_xlfn.XLOOKUP(B26,Summary!$C$10:$C$15,Summary!$B$10:$B$15)),0)</f>
        <v>0</v>
      </c>
    </row>
    <row r="27" spans="1:23" x14ac:dyDescent="0.25">
      <c r="A27">
        <v>40201</v>
      </c>
      <c r="B27" t="s">
        <v>27</v>
      </c>
      <c r="C27" t="s">
        <v>38</v>
      </c>
      <c r="D27" s="11">
        <v>1907</v>
      </c>
      <c r="E27">
        <v>260.77</v>
      </c>
      <c r="F27">
        <v>363</v>
      </c>
      <c r="G27">
        <f t="shared" si="0"/>
        <v>692241</v>
      </c>
      <c r="H27" t="s">
        <v>71</v>
      </c>
      <c r="J27" s="9">
        <v>45727</v>
      </c>
      <c r="K27" t="s">
        <v>39</v>
      </c>
      <c r="L27" t="s">
        <v>24</v>
      </c>
      <c r="M27" t="str">
        <f t="shared" si="1"/>
        <v>Public Sector</v>
      </c>
      <c r="N27" t="str">
        <f t="shared" si="2"/>
        <v>Large Order</v>
      </c>
      <c r="O27">
        <f t="shared" si="3"/>
        <v>159215.43</v>
      </c>
      <c r="P27">
        <f t="shared" si="4"/>
        <v>0</v>
      </c>
      <c r="Q27" t="b">
        <f t="shared" si="5"/>
        <v>0</v>
      </c>
      <c r="R27">
        <f t="shared" si="6"/>
        <v>0</v>
      </c>
      <c r="S27" s="14">
        <f>_xlfn.XLOOKUP(B27,Summary!$C$10:$C$15,Summary!$B$10:$B$15)</f>
        <v>0.19</v>
      </c>
      <c r="T27">
        <f>IF(AND(H27="Yes",L27&lt;&gt;"Government"),G27*(_xlfn.XLOOKUP(B27,Summary!$C$10:$C$15,Summary!$B$10:$B$15)),0)</f>
        <v>0</v>
      </c>
    </row>
    <row r="28" spans="1:23" x14ac:dyDescent="0.25">
      <c r="A28">
        <v>61447</v>
      </c>
      <c r="B28" t="s">
        <v>42</v>
      </c>
      <c r="C28" t="s">
        <v>25</v>
      </c>
      <c r="D28" s="11">
        <v>801</v>
      </c>
      <c r="E28">
        <v>3.52</v>
      </c>
      <c r="F28">
        <v>5</v>
      </c>
      <c r="G28">
        <f t="shared" si="0"/>
        <v>4005</v>
      </c>
      <c r="H28" t="s">
        <v>72</v>
      </c>
      <c r="J28" s="9">
        <v>45398</v>
      </c>
      <c r="K28" t="s">
        <v>41</v>
      </c>
      <c r="L28" t="s">
        <v>34</v>
      </c>
      <c r="M28" t="str">
        <f t="shared" si="1"/>
        <v>Private Industry</v>
      </c>
      <c r="N28" t="str">
        <f t="shared" si="2"/>
        <v>Small Order</v>
      </c>
      <c r="O28">
        <f t="shared" si="3"/>
        <v>0</v>
      </c>
      <c r="P28">
        <f t="shared" si="4"/>
        <v>0</v>
      </c>
      <c r="Q28" t="b">
        <f t="shared" si="5"/>
        <v>0</v>
      </c>
      <c r="R28">
        <f t="shared" si="6"/>
        <v>0</v>
      </c>
      <c r="S28" s="14">
        <f>_xlfn.XLOOKUP(B28,Summary!$C$10:$C$15,Summary!$B$10:$B$15)</f>
        <v>0.24</v>
      </c>
      <c r="T28">
        <f>IF(AND(H28="Yes",L28&lt;&gt;"Government"),G28*(_xlfn.XLOOKUP(B28,Summary!$C$10:$C$15,Summary!$B$10:$B$15)),0)</f>
        <v>0</v>
      </c>
    </row>
    <row r="29" spans="1:23" x14ac:dyDescent="0.25">
      <c r="A29">
        <v>17930</v>
      </c>
      <c r="B29" t="s">
        <v>27</v>
      </c>
      <c r="C29" t="s">
        <v>38</v>
      </c>
      <c r="D29" s="11">
        <v>1159</v>
      </c>
      <c r="E29">
        <v>260.27</v>
      </c>
      <c r="F29">
        <v>336</v>
      </c>
      <c r="G29">
        <f t="shared" si="0"/>
        <v>389424</v>
      </c>
      <c r="H29" t="s">
        <v>72</v>
      </c>
      <c r="J29" s="9">
        <v>45576</v>
      </c>
      <c r="K29" t="s">
        <v>40</v>
      </c>
      <c r="L29" t="s">
        <v>24</v>
      </c>
      <c r="M29" t="str">
        <f t="shared" si="1"/>
        <v>Public Sector</v>
      </c>
      <c r="N29" t="str">
        <f t="shared" si="2"/>
        <v>Small Order</v>
      </c>
      <c r="O29">
        <f t="shared" si="3"/>
        <v>0</v>
      </c>
      <c r="P29">
        <f t="shared" si="4"/>
        <v>0</v>
      </c>
      <c r="Q29" t="b">
        <f t="shared" si="5"/>
        <v>0</v>
      </c>
      <c r="R29">
        <f t="shared" si="6"/>
        <v>0</v>
      </c>
      <c r="S29" s="14">
        <f>_xlfn.XLOOKUP(B29,Summary!$C$10:$C$15,Summary!$B$10:$B$15)</f>
        <v>0.19</v>
      </c>
      <c r="T29">
        <f>IF(AND(H29="Yes",L29&lt;&gt;"Government"),G29*(_xlfn.XLOOKUP(B29,Summary!$C$10:$C$15,Summary!$B$10:$B$15)),0)</f>
        <v>0</v>
      </c>
    </row>
    <row r="30" spans="1:23" x14ac:dyDescent="0.25">
      <c r="A30">
        <v>45863</v>
      </c>
      <c r="B30" t="s">
        <v>44</v>
      </c>
      <c r="C30" t="s">
        <v>30</v>
      </c>
      <c r="D30" s="11">
        <v>3802</v>
      </c>
      <c r="E30">
        <v>5.79</v>
      </c>
      <c r="F30">
        <v>9</v>
      </c>
      <c r="G30">
        <f t="shared" si="0"/>
        <v>34218</v>
      </c>
      <c r="H30" t="s">
        <v>72</v>
      </c>
      <c r="J30" s="9">
        <v>45276</v>
      </c>
      <c r="K30" t="s">
        <v>40</v>
      </c>
      <c r="L30" t="s">
        <v>34</v>
      </c>
      <c r="M30" t="str">
        <f t="shared" si="1"/>
        <v>Private Industry</v>
      </c>
      <c r="N30" t="str">
        <f t="shared" si="2"/>
        <v>Large Order</v>
      </c>
      <c r="O30">
        <f t="shared" si="3"/>
        <v>0</v>
      </c>
      <c r="P30">
        <f t="shared" si="4"/>
        <v>0</v>
      </c>
      <c r="Q30" t="b">
        <f t="shared" si="5"/>
        <v>0</v>
      </c>
      <c r="R30">
        <f t="shared" si="6"/>
        <v>0</v>
      </c>
      <c r="S30" s="14">
        <f>_xlfn.XLOOKUP(B30,Summary!$C$10:$C$15,Summary!$B$10:$B$15)</f>
        <v>0.2</v>
      </c>
      <c r="T30">
        <f>IF(AND(H30="Yes",L30&lt;&gt;"Government"),G30*(_xlfn.XLOOKUP(B30,Summary!$C$10:$C$15,Summary!$B$10:$B$15)),0)</f>
        <v>0</v>
      </c>
    </row>
    <row r="31" spans="1:23" x14ac:dyDescent="0.25">
      <c r="A31">
        <v>28574</v>
      </c>
      <c r="B31" t="s">
        <v>32</v>
      </c>
      <c r="C31" t="s">
        <v>25</v>
      </c>
      <c r="D31" s="11">
        <v>2521</v>
      </c>
      <c r="E31">
        <v>3.79</v>
      </c>
      <c r="F31">
        <v>6</v>
      </c>
      <c r="G31">
        <f t="shared" si="0"/>
        <v>15126</v>
      </c>
      <c r="H31" t="s">
        <v>71</v>
      </c>
      <c r="J31" s="9">
        <v>45176</v>
      </c>
      <c r="K31" t="s">
        <v>41</v>
      </c>
      <c r="L31" t="s">
        <v>24</v>
      </c>
      <c r="M31" t="str">
        <f t="shared" si="1"/>
        <v>Public Sector</v>
      </c>
      <c r="N31" t="str">
        <f t="shared" si="2"/>
        <v>Large Order</v>
      </c>
      <c r="O31">
        <f t="shared" si="3"/>
        <v>3478.98</v>
      </c>
      <c r="P31">
        <f t="shared" si="4"/>
        <v>0</v>
      </c>
      <c r="Q31" t="b">
        <f t="shared" si="5"/>
        <v>0</v>
      </c>
      <c r="R31">
        <f t="shared" si="6"/>
        <v>0</v>
      </c>
      <c r="S31" s="14">
        <f>_xlfn.XLOOKUP(B31,Summary!$C$10:$C$15,Summary!$B$10:$B$15)</f>
        <v>0.23</v>
      </c>
      <c r="T31">
        <f>IF(AND(H31="Yes",L31&lt;&gt;"Government"),G31*(_xlfn.XLOOKUP(B31,Summary!$C$10:$C$15,Summary!$B$10:$B$15)),0)</f>
        <v>0</v>
      </c>
    </row>
    <row r="32" spans="1:23" x14ac:dyDescent="0.25">
      <c r="A32">
        <v>67030</v>
      </c>
      <c r="B32" t="s">
        <v>29</v>
      </c>
      <c r="C32" t="s">
        <v>35</v>
      </c>
      <c r="D32" s="11">
        <v>3945</v>
      </c>
      <c r="E32">
        <v>10.46</v>
      </c>
      <c r="F32">
        <v>13</v>
      </c>
      <c r="G32">
        <f t="shared" si="0"/>
        <v>51285</v>
      </c>
      <c r="H32" t="s">
        <v>72</v>
      </c>
      <c r="J32" s="9">
        <v>45073</v>
      </c>
      <c r="K32" t="s">
        <v>39</v>
      </c>
      <c r="L32" t="s">
        <v>24</v>
      </c>
      <c r="M32" t="str">
        <f t="shared" si="1"/>
        <v>Public Sector</v>
      </c>
      <c r="N32" t="str">
        <f t="shared" si="2"/>
        <v>Large Order</v>
      </c>
      <c r="O32">
        <f t="shared" si="3"/>
        <v>0</v>
      </c>
      <c r="P32">
        <f t="shared" si="4"/>
        <v>0</v>
      </c>
      <c r="Q32" t="b">
        <f t="shared" si="5"/>
        <v>0</v>
      </c>
      <c r="R32">
        <f t="shared" si="6"/>
        <v>0</v>
      </c>
      <c r="S32" s="14">
        <f>_xlfn.XLOOKUP(B32,Summary!$C$10:$C$15,Summary!$B$10:$B$15)</f>
        <v>0.22</v>
      </c>
      <c r="T32">
        <f>IF(AND(H32="Yes",L32&lt;&gt;"Government"),G32*(_xlfn.XLOOKUP(B32,Summary!$C$10:$C$15,Summary!$B$10:$B$15)),0)</f>
        <v>0</v>
      </c>
    </row>
    <row r="33" spans="1:20" x14ac:dyDescent="0.25">
      <c r="A33">
        <v>76757</v>
      </c>
      <c r="B33" t="s">
        <v>29</v>
      </c>
      <c r="C33" t="s">
        <v>36</v>
      </c>
      <c r="D33" s="11">
        <v>1659</v>
      </c>
      <c r="E33">
        <v>120.55</v>
      </c>
      <c r="F33">
        <v>144</v>
      </c>
      <c r="G33">
        <f t="shared" si="0"/>
        <v>238896</v>
      </c>
      <c r="H33" t="s">
        <v>72</v>
      </c>
      <c r="J33" s="9">
        <v>45696</v>
      </c>
      <c r="K33" t="s">
        <v>40</v>
      </c>
      <c r="L33" t="s">
        <v>34</v>
      </c>
      <c r="M33" t="str">
        <f t="shared" si="1"/>
        <v>Private Industry</v>
      </c>
      <c r="N33" t="str">
        <f t="shared" si="2"/>
        <v>Large Order</v>
      </c>
      <c r="O33">
        <f t="shared" si="3"/>
        <v>0</v>
      </c>
      <c r="P33">
        <f t="shared" si="4"/>
        <v>0</v>
      </c>
      <c r="Q33" t="b">
        <f t="shared" si="5"/>
        <v>0</v>
      </c>
      <c r="R33">
        <f t="shared" si="6"/>
        <v>0</v>
      </c>
      <c r="S33" s="14">
        <f>_xlfn.XLOOKUP(B33,Summary!$C$10:$C$15,Summary!$B$10:$B$15)</f>
        <v>0.22</v>
      </c>
      <c r="T33">
        <f>IF(AND(H33="Yes",L33&lt;&gt;"Government"),G33*(_xlfn.XLOOKUP(B33,Summary!$C$10:$C$15,Summary!$B$10:$B$15)),0)</f>
        <v>0</v>
      </c>
    </row>
    <row r="34" spans="1:20" x14ac:dyDescent="0.25">
      <c r="A34">
        <v>25932</v>
      </c>
      <c r="B34" t="s">
        <v>42</v>
      </c>
      <c r="C34" t="s">
        <v>36</v>
      </c>
      <c r="D34" s="11">
        <v>500</v>
      </c>
      <c r="E34">
        <v>120.28</v>
      </c>
      <c r="F34">
        <v>144</v>
      </c>
      <c r="G34">
        <f t="shared" si="0"/>
        <v>72000</v>
      </c>
      <c r="H34" t="s">
        <v>72</v>
      </c>
      <c r="J34" s="9">
        <v>45477</v>
      </c>
      <c r="K34" t="s">
        <v>41</v>
      </c>
      <c r="L34" t="s">
        <v>31</v>
      </c>
      <c r="M34" t="str">
        <f t="shared" si="1"/>
        <v>Private Industry</v>
      </c>
      <c r="N34" t="str">
        <f t="shared" si="2"/>
        <v>Small Order</v>
      </c>
      <c r="O34">
        <f t="shared" si="3"/>
        <v>0</v>
      </c>
      <c r="P34">
        <f t="shared" si="4"/>
        <v>0</v>
      </c>
      <c r="Q34" t="b">
        <f t="shared" si="5"/>
        <v>0</v>
      </c>
      <c r="R34">
        <f t="shared" si="6"/>
        <v>0</v>
      </c>
      <c r="S34" s="14">
        <f>_xlfn.XLOOKUP(B34,Summary!$C$10:$C$15,Summary!$B$10:$B$15)</f>
        <v>0.24</v>
      </c>
      <c r="T34">
        <f>IF(AND(H34="Yes",L34&lt;&gt;"Government"),G34*(_xlfn.XLOOKUP(B34,Summary!$C$10:$C$15,Summary!$B$10:$B$15)),0)</f>
        <v>0</v>
      </c>
    </row>
    <row r="35" spans="1:20" x14ac:dyDescent="0.25">
      <c r="A35">
        <v>27807</v>
      </c>
      <c r="B35" t="s">
        <v>43</v>
      </c>
      <c r="C35" t="s">
        <v>35</v>
      </c>
      <c r="D35" s="11">
        <v>1767</v>
      </c>
      <c r="E35">
        <v>10.32</v>
      </c>
      <c r="F35">
        <v>15</v>
      </c>
      <c r="G35">
        <f t="shared" si="0"/>
        <v>26505</v>
      </c>
      <c r="H35" t="s">
        <v>71</v>
      </c>
      <c r="J35" s="9">
        <v>45697</v>
      </c>
      <c r="K35" t="s">
        <v>41</v>
      </c>
      <c r="L35" t="s">
        <v>28</v>
      </c>
      <c r="M35" t="str">
        <f t="shared" si="1"/>
        <v>Private Industry</v>
      </c>
      <c r="N35" t="str">
        <f t="shared" si="2"/>
        <v>Large Order</v>
      </c>
      <c r="O35">
        <f t="shared" si="3"/>
        <v>6096.1500000000005</v>
      </c>
      <c r="P35">
        <f t="shared" si="4"/>
        <v>6096.1500000000005</v>
      </c>
      <c r="Q35" t="b">
        <f t="shared" si="5"/>
        <v>1</v>
      </c>
      <c r="R35">
        <f t="shared" si="6"/>
        <v>6096.1500000000005</v>
      </c>
      <c r="S35" s="14">
        <f>_xlfn.XLOOKUP(B35,Summary!$C$10:$C$15,Summary!$B$10:$B$15)</f>
        <v>0.21</v>
      </c>
      <c r="T35">
        <f>IF(AND(H35="Yes",L35&lt;&gt;"Government"),G35*(_xlfn.XLOOKUP(B35,Summary!$C$10:$C$15,Summary!$B$10:$B$15)),0)</f>
        <v>5566.05</v>
      </c>
    </row>
    <row r="36" spans="1:20" x14ac:dyDescent="0.25">
      <c r="A36">
        <v>96568</v>
      </c>
      <c r="B36" t="s">
        <v>44</v>
      </c>
      <c r="C36" t="s">
        <v>37</v>
      </c>
      <c r="D36" s="11">
        <v>1874</v>
      </c>
      <c r="E36">
        <v>250.84</v>
      </c>
      <c r="F36">
        <v>319</v>
      </c>
      <c r="G36">
        <f t="shared" si="0"/>
        <v>597806</v>
      </c>
      <c r="H36" t="s">
        <v>71</v>
      </c>
      <c r="J36" s="9">
        <v>45155</v>
      </c>
      <c r="K36" t="s">
        <v>39</v>
      </c>
      <c r="L36" t="s">
        <v>34</v>
      </c>
      <c r="M36" t="str">
        <f t="shared" si="1"/>
        <v>Private Industry</v>
      </c>
      <c r="N36" t="str">
        <f t="shared" si="2"/>
        <v>Large Order</v>
      </c>
      <c r="O36">
        <f t="shared" si="3"/>
        <v>137495.38</v>
      </c>
      <c r="P36">
        <f t="shared" si="4"/>
        <v>137495.38</v>
      </c>
      <c r="Q36" t="b">
        <f t="shared" si="5"/>
        <v>1</v>
      </c>
      <c r="R36">
        <f t="shared" si="6"/>
        <v>137495.38</v>
      </c>
      <c r="S36" s="14">
        <f>_xlfn.XLOOKUP(B36,Summary!$C$10:$C$15,Summary!$B$10:$B$15)</f>
        <v>0.2</v>
      </c>
      <c r="T36">
        <f>IF(AND(H36="Yes",L36&lt;&gt;"Government"),G36*(_xlfn.XLOOKUP(B36,Summary!$C$10:$C$15,Summary!$B$10:$B$15)),0)</f>
        <v>119561.20000000001</v>
      </c>
    </row>
    <row r="37" spans="1:20" x14ac:dyDescent="0.25">
      <c r="A37">
        <v>31826</v>
      </c>
      <c r="B37" t="s">
        <v>32</v>
      </c>
      <c r="C37" t="s">
        <v>37</v>
      </c>
      <c r="D37" s="11">
        <v>986</v>
      </c>
      <c r="E37">
        <v>250.3</v>
      </c>
      <c r="F37">
        <v>353</v>
      </c>
      <c r="G37">
        <f t="shared" si="0"/>
        <v>348058</v>
      </c>
      <c r="H37" t="s">
        <v>71</v>
      </c>
      <c r="J37" s="9">
        <v>45642</v>
      </c>
      <c r="K37" t="s">
        <v>39</v>
      </c>
      <c r="L37" t="s">
        <v>34</v>
      </c>
      <c r="M37" t="str">
        <f t="shared" si="1"/>
        <v>Private Industry</v>
      </c>
      <c r="N37" t="str">
        <f t="shared" si="2"/>
        <v>Small Order</v>
      </c>
      <c r="O37">
        <f t="shared" si="3"/>
        <v>80053.34</v>
      </c>
      <c r="P37">
        <f t="shared" si="4"/>
        <v>80053.34</v>
      </c>
      <c r="Q37" t="b">
        <f t="shared" si="5"/>
        <v>1</v>
      </c>
      <c r="R37">
        <f t="shared" si="6"/>
        <v>80053.34</v>
      </c>
      <c r="S37" s="14">
        <f>_xlfn.XLOOKUP(B37,Summary!$C$10:$C$15,Summary!$B$10:$B$15)</f>
        <v>0.23</v>
      </c>
      <c r="T37">
        <f>IF(AND(H37="Yes",L37&lt;&gt;"Government"),G37*(_xlfn.XLOOKUP(B37,Summary!$C$10:$C$15,Summary!$B$10:$B$15)),0)</f>
        <v>80053.34</v>
      </c>
    </row>
    <row r="38" spans="1:20" x14ac:dyDescent="0.25">
      <c r="A38">
        <v>67944</v>
      </c>
      <c r="B38" t="s">
        <v>42</v>
      </c>
      <c r="C38" t="s">
        <v>38</v>
      </c>
      <c r="D38" s="11">
        <v>1123</v>
      </c>
      <c r="E38">
        <v>260.38</v>
      </c>
      <c r="F38">
        <v>318</v>
      </c>
      <c r="G38">
        <f t="shared" si="0"/>
        <v>357114</v>
      </c>
      <c r="H38" t="s">
        <v>71</v>
      </c>
      <c r="J38" s="9">
        <v>45418</v>
      </c>
      <c r="K38" t="s">
        <v>40</v>
      </c>
      <c r="L38" t="s">
        <v>31</v>
      </c>
      <c r="M38" t="str">
        <f t="shared" si="1"/>
        <v>Private Industry</v>
      </c>
      <c r="N38" t="str">
        <f t="shared" si="2"/>
        <v>Small Order</v>
      </c>
      <c r="O38">
        <f t="shared" si="3"/>
        <v>82136.22</v>
      </c>
      <c r="P38">
        <f t="shared" si="4"/>
        <v>82136.22</v>
      </c>
      <c r="Q38" t="b">
        <f t="shared" si="5"/>
        <v>1</v>
      </c>
      <c r="R38">
        <f t="shared" si="6"/>
        <v>82136.22</v>
      </c>
      <c r="S38" s="14">
        <f>_xlfn.XLOOKUP(B38,Summary!$C$10:$C$15,Summary!$B$10:$B$15)</f>
        <v>0.24</v>
      </c>
      <c r="T38">
        <f>IF(AND(H38="Yes",L38&lt;&gt;"Government"),G38*(_xlfn.XLOOKUP(B38,Summary!$C$10:$C$15,Summary!$B$10:$B$15)),0)</f>
        <v>85707.36</v>
      </c>
    </row>
    <row r="39" spans="1:20" x14ac:dyDescent="0.25">
      <c r="A39">
        <v>91512</v>
      </c>
      <c r="B39" t="s">
        <v>42</v>
      </c>
      <c r="C39" t="s">
        <v>25</v>
      </c>
      <c r="D39" s="11">
        <v>1397</v>
      </c>
      <c r="E39">
        <v>3.04</v>
      </c>
      <c r="F39">
        <v>5</v>
      </c>
      <c r="G39">
        <f t="shared" si="0"/>
        <v>6985</v>
      </c>
      <c r="H39" t="s">
        <v>72</v>
      </c>
      <c r="J39" s="9">
        <v>45511</v>
      </c>
      <c r="K39" t="s">
        <v>39</v>
      </c>
      <c r="L39" t="s">
        <v>24</v>
      </c>
      <c r="M39" t="str">
        <f t="shared" si="1"/>
        <v>Public Sector</v>
      </c>
      <c r="N39" t="str">
        <f t="shared" si="2"/>
        <v>Small Order</v>
      </c>
      <c r="O39">
        <f t="shared" si="3"/>
        <v>0</v>
      </c>
      <c r="P39">
        <f t="shared" si="4"/>
        <v>0</v>
      </c>
      <c r="Q39" t="b">
        <f t="shared" si="5"/>
        <v>0</v>
      </c>
      <c r="R39">
        <f t="shared" si="6"/>
        <v>0</v>
      </c>
      <c r="S39" s="14">
        <f>_xlfn.XLOOKUP(B39,Summary!$C$10:$C$15,Summary!$B$10:$B$15)</f>
        <v>0.24</v>
      </c>
      <c r="T39">
        <f>IF(AND(H39="Yes",L39&lt;&gt;"Government"),G39*(_xlfn.XLOOKUP(B39,Summary!$C$10:$C$15,Summary!$B$10:$B$15)),0)</f>
        <v>0</v>
      </c>
    </row>
    <row r="40" spans="1:20" x14ac:dyDescent="0.25">
      <c r="A40">
        <v>75204</v>
      </c>
      <c r="B40" t="s">
        <v>32</v>
      </c>
      <c r="C40" t="s">
        <v>30</v>
      </c>
      <c r="D40" s="11">
        <v>1899</v>
      </c>
      <c r="E40">
        <v>5.65</v>
      </c>
      <c r="F40">
        <v>7</v>
      </c>
      <c r="G40">
        <f t="shared" si="0"/>
        <v>13293</v>
      </c>
      <c r="H40" t="s">
        <v>72</v>
      </c>
      <c r="J40" s="9">
        <v>45521</v>
      </c>
      <c r="K40" t="s">
        <v>26</v>
      </c>
      <c r="L40" t="s">
        <v>24</v>
      </c>
      <c r="M40" t="str">
        <f t="shared" si="1"/>
        <v>Public Sector</v>
      </c>
      <c r="N40" t="str">
        <f t="shared" si="2"/>
        <v>Large Order</v>
      </c>
      <c r="O40">
        <f t="shared" si="3"/>
        <v>0</v>
      </c>
      <c r="P40">
        <f t="shared" si="4"/>
        <v>0</v>
      </c>
      <c r="Q40" t="b">
        <f t="shared" si="5"/>
        <v>0</v>
      </c>
      <c r="R40">
        <f t="shared" si="6"/>
        <v>0</v>
      </c>
      <c r="S40" s="14">
        <f>_xlfn.XLOOKUP(B40,Summary!$C$10:$C$15,Summary!$B$10:$B$15)</f>
        <v>0.23</v>
      </c>
      <c r="T40">
        <f>IF(AND(H40="Yes",L40&lt;&gt;"Government"),G40*(_xlfn.XLOOKUP(B40,Summary!$C$10:$C$15,Summary!$B$10:$B$15)),0)</f>
        <v>0</v>
      </c>
    </row>
    <row r="41" spans="1:20" x14ac:dyDescent="0.25">
      <c r="A41">
        <v>82882</v>
      </c>
      <c r="B41" t="s">
        <v>44</v>
      </c>
      <c r="C41" t="s">
        <v>37</v>
      </c>
      <c r="D41" s="11">
        <v>1583</v>
      </c>
      <c r="E41">
        <v>250.72</v>
      </c>
      <c r="F41">
        <v>299</v>
      </c>
      <c r="G41">
        <f t="shared" si="0"/>
        <v>473317</v>
      </c>
      <c r="H41" t="s">
        <v>72</v>
      </c>
      <c r="J41" s="9">
        <v>45714</v>
      </c>
      <c r="K41" t="s">
        <v>41</v>
      </c>
      <c r="L41" t="s">
        <v>33</v>
      </c>
      <c r="M41" t="str">
        <f t="shared" si="1"/>
        <v>Private Industry</v>
      </c>
      <c r="N41" t="str">
        <f t="shared" si="2"/>
        <v>Large Order</v>
      </c>
      <c r="O41">
        <f t="shared" si="3"/>
        <v>0</v>
      </c>
      <c r="P41">
        <f t="shared" si="4"/>
        <v>0</v>
      </c>
      <c r="Q41" t="b">
        <f t="shared" si="5"/>
        <v>0</v>
      </c>
      <c r="R41">
        <f t="shared" si="6"/>
        <v>0</v>
      </c>
      <c r="S41" s="14">
        <f>_xlfn.XLOOKUP(B41,Summary!$C$10:$C$15,Summary!$B$10:$B$15)</f>
        <v>0.2</v>
      </c>
      <c r="T41">
        <f>IF(AND(H41="Yes",L41&lt;&gt;"Government"),G41*(_xlfn.XLOOKUP(B41,Summary!$C$10:$C$15,Summary!$B$10:$B$15)),0)</f>
        <v>0</v>
      </c>
    </row>
    <row r="42" spans="1:20" x14ac:dyDescent="0.25">
      <c r="A42">
        <v>85111</v>
      </c>
      <c r="B42" t="s">
        <v>29</v>
      </c>
      <c r="C42" t="s">
        <v>35</v>
      </c>
      <c r="D42" s="11">
        <v>1303</v>
      </c>
      <c r="E42">
        <v>10.23</v>
      </c>
      <c r="F42">
        <v>13</v>
      </c>
      <c r="G42">
        <f t="shared" si="0"/>
        <v>16939</v>
      </c>
      <c r="H42" t="s">
        <v>72</v>
      </c>
      <c r="J42" s="9">
        <v>45391</v>
      </c>
      <c r="K42" t="s">
        <v>40</v>
      </c>
      <c r="L42" t="s">
        <v>24</v>
      </c>
      <c r="M42" t="str">
        <f t="shared" si="1"/>
        <v>Public Sector</v>
      </c>
      <c r="N42" t="str">
        <f t="shared" si="2"/>
        <v>Small Order</v>
      </c>
      <c r="O42">
        <f t="shared" si="3"/>
        <v>0</v>
      </c>
      <c r="P42">
        <f t="shared" si="4"/>
        <v>0</v>
      </c>
      <c r="Q42" t="b">
        <f t="shared" si="5"/>
        <v>0</v>
      </c>
      <c r="R42">
        <f t="shared" si="6"/>
        <v>0</v>
      </c>
      <c r="S42" s="14">
        <f>_xlfn.XLOOKUP(B42,Summary!$C$10:$C$15,Summary!$B$10:$B$15)</f>
        <v>0.22</v>
      </c>
      <c r="T42">
        <f>IF(AND(H42="Yes",L42&lt;&gt;"Government"),G42*(_xlfn.XLOOKUP(B42,Summary!$C$10:$C$15,Summary!$B$10:$B$15)),0)</f>
        <v>0</v>
      </c>
    </row>
    <row r="43" spans="1:20" x14ac:dyDescent="0.25">
      <c r="A43">
        <v>90552</v>
      </c>
      <c r="B43" t="s">
        <v>42</v>
      </c>
      <c r="C43" t="s">
        <v>35</v>
      </c>
      <c r="D43" s="11">
        <v>1514</v>
      </c>
      <c r="E43">
        <v>10.5</v>
      </c>
      <c r="F43">
        <v>13</v>
      </c>
      <c r="G43">
        <f t="shared" si="0"/>
        <v>19682</v>
      </c>
      <c r="H43" t="s">
        <v>72</v>
      </c>
      <c r="J43" s="9">
        <v>45311</v>
      </c>
      <c r="K43" t="s">
        <v>39</v>
      </c>
      <c r="L43" t="s">
        <v>28</v>
      </c>
      <c r="M43" t="str">
        <f t="shared" si="1"/>
        <v>Private Industry</v>
      </c>
      <c r="N43" t="str">
        <f t="shared" si="2"/>
        <v>Large Order</v>
      </c>
      <c r="O43">
        <f t="shared" si="3"/>
        <v>0</v>
      </c>
      <c r="P43">
        <f t="shared" si="4"/>
        <v>0</v>
      </c>
      <c r="Q43" t="b">
        <f t="shared" si="5"/>
        <v>0</v>
      </c>
      <c r="R43">
        <f t="shared" si="6"/>
        <v>0</v>
      </c>
      <c r="S43" s="14">
        <f>_xlfn.XLOOKUP(B43,Summary!$C$10:$C$15,Summary!$B$10:$B$15)</f>
        <v>0.24</v>
      </c>
      <c r="T43">
        <f>IF(AND(H43="Yes",L43&lt;&gt;"Government"),G43*(_xlfn.XLOOKUP(B43,Summary!$C$10:$C$15,Summary!$B$10:$B$15)),0)</f>
        <v>0</v>
      </c>
    </row>
    <row r="44" spans="1:20" x14ac:dyDescent="0.25">
      <c r="A44">
        <v>21835</v>
      </c>
      <c r="B44" t="s">
        <v>27</v>
      </c>
      <c r="C44" t="s">
        <v>36</v>
      </c>
      <c r="D44" s="11">
        <v>1307</v>
      </c>
      <c r="E44">
        <v>120.86</v>
      </c>
      <c r="F44">
        <v>173</v>
      </c>
      <c r="G44">
        <f t="shared" si="0"/>
        <v>226111</v>
      </c>
      <c r="H44" t="s">
        <v>71</v>
      </c>
      <c r="J44" s="9">
        <v>45725</v>
      </c>
      <c r="K44" t="s">
        <v>40</v>
      </c>
      <c r="L44" t="s">
        <v>24</v>
      </c>
      <c r="M44" t="str">
        <f t="shared" si="1"/>
        <v>Public Sector</v>
      </c>
      <c r="N44" t="str">
        <f t="shared" si="2"/>
        <v>Small Order</v>
      </c>
      <c r="O44">
        <f t="shared" si="3"/>
        <v>52005.53</v>
      </c>
      <c r="P44">
        <f t="shared" si="4"/>
        <v>0</v>
      </c>
      <c r="Q44" t="b">
        <f t="shared" si="5"/>
        <v>0</v>
      </c>
      <c r="R44">
        <f t="shared" si="6"/>
        <v>0</v>
      </c>
      <c r="S44" s="14">
        <f>_xlfn.XLOOKUP(B44,Summary!$C$10:$C$15,Summary!$B$10:$B$15)</f>
        <v>0.19</v>
      </c>
      <c r="T44">
        <f>IF(AND(H44="Yes",L44&lt;&gt;"Government"),G44*(_xlfn.XLOOKUP(B44,Summary!$C$10:$C$15,Summary!$B$10:$B$15)),0)</f>
        <v>0</v>
      </c>
    </row>
    <row r="45" spans="1:20" x14ac:dyDescent="0.25">
      <c r="A45">
        <v>78506</v>
      </c>
      <c r="B45" t="s">
        <v>32</v>
      </c>
      <c r="C45" t="s">
        <v>35</v>
      </c>
      <c r="D45" s="11">
        <v>1142</v>
      </c>
      <c r="E45">
        <v>10.46</v>
      </c>
      <c r="F45">
        <v>14</v>
      </c>
      <c r="G45">
        <f t="shared" si="0"/>
        <v>15988</v>
      </c>
      <c r="H45" t="s">
        <v>71</v>
      </c>
      <c r="J45" s="9">
        <v>45092</v>
      </c>
      <c r="K45" t="s">
        <v>39</v>
      </c>
      <c r="L45" t="s">
        <v>31</v>
      </c>
      <c r="M45" t="str">
        <f t="shared" si="1"/>
        <v>Private Industry</v>
      </c>
      <c r="N45" t="str">
        <f t="shared" si="2"/>
        <v>Small Order</v>
      </c>
      <c r="O45">
        <f t="shared" si="3"/>
        <v>3677.2400000000002</v>
      </c>
      <c r="P45">
        <f t="shared" si="4"/>
        <v>3677.2400000000002</v>
      </c>
      <c r="Q45" t="b">
        <f t="shared" si="5"/>
        <v>1</v>
      </c>
      <c r="R45">
        <f t="shared" si="6"/>
        <v>3677.2400000000002</v>
      </c>
      <c r="S45" s="14">
        <f>_xlfn.XLOOKUP(B45,Summary!$C$10:$C$15,Summary!$B$10:$B$15)</f>
        <v>0.23</v>
      </c>
      <c r="T45">
        <f>IF(AND(H45="Yes",L45&lt;&gt;"Government"),G45*(_xlfn.XLOOKUP(B45,Summary!$C$10:$C$15,Summary!$B$10:$B$15)),0)</f>
        <v>3677.2400000000002</v>
      </c>
    </row>
    <row r="46" spans="1:20" x14ac:dyDescent="0.25">
      <c r="A46">
        <v>26731</v>
      </c>
      <c r="B46" t="s">
        <v>44</v>
      </c>
      <c r="C46" t="s">
        <v>36</v>
      </c>
      <c r="D46" s="11">
        <v>2431</v>
      </c>
      <c r="E46">
        <v>120.43</v>
      </c>
      <c r="F46">
        <v>149</v>
      </c>
      <c r="G46">
        <f t="shared" si="0"/>
        <v>362219</v>
      </c>
      <c r="H46" t="s">
        <v>71</v>
      </c>
      <c r="J46" s="9">
        <v>45315</v>
      </c>
      <c r="K46" t="s">
        <v>40</v>
      </c>
      <c r="L46" t="s">
        <v>31</v>
      </c>
      <c r="M46" t="str">
        <f t="shared" si="1"/>
        <v>Private Industry</v>
      </c>
      <c r="N46" t="str">
        <f t="shared" si="2"/>
        <v>Large Order</v>
      </c>
      <c r="O46">
        <f t="shared" si="3"/>
        <v>83310.37000000001</v>
      </c>
      <c r="P46">
        <f t="shared" si="4"/>
        <v>83310.37000000001</v>
      </c>
      <c r="Q46" t="b">
        <f t="shared" si="5"/>
        <v>1</v>
      </c>
      <c r="R46">
        <f t="shared" si="6"/>
        <v>83310.37000000001</v>
      </c>
      <c r="S46" s="14">
        <f>_xlfn.XLOOKUP(B46,Summary!$C$10:$C$15,Summary!$B$10:$B$15)</f>
        <v>0.2</v>
      </c>
      <c r="T46">
        <f>IF(AND(H46="Yes",L46&lt;&gt;"Government"),G46*(_xlfn.XLOOKUP(B46,Summary!$C$10:$C$15,Summary!$B$10:$B$15)),0)</f>
        <v>72443.8</v>
      </c>
    </row>
    <row r="47" spans="1:20" x14ac:dyDescent="0.25">
      <c r="A47">
        <v>79056</v>
      </c>
      <c r="B47" t="s">
        <v>44</v>
      </c>
      <c r="C47" t="s">
        <v>25</v>
      </c>
      <c r="D47" s="11">
        <v>1560</v>
      </c>
      <c r="E47">
        <v>3.51</v>
      </c>
      <c r="F47">
        <v>6</v>
      </c>
      <c r="G47">
        <f t="shared" si="0"/>
        <v>9360</v>
      </c>
      <c r="H47" t="s">
        <v>72</v>
      </c>
      <c r="J47" s="9">
        <v>45341</v>
      </c>
      <c r="K47" t="s">
        <v>41</v>
      </c>
      <c r="L47" t="s">
        <v>28</v>
      </c>
      <c r="M47" t="str">
        <f t="shared" si="1"/>
        <v>Private Industry</v>
      </c>
      <c r="N47" t="str">
        <f t="shared" si="2"/>
        <v>Large Order</v>
      </c>
      <c r="O47">
        <f t="shared" si="3"/>
        <v>0</v>
      </c>
      <c r="P47">
        <f t="shared" si="4"/>
        <v>0</v>
      </c>
      <c r="Q47" t="b">
        <f t="shared" si="5"/>
        <v>0</v>
      </c>
      <c r="R47">
        <f t="shared" si="6"/>
        <v>0</v>
      </c>
      <c r="S47" s="14">
        <f>_xlfn.XLOOKUP(B47,Summary!$C$10:$C$15,Summary!$B$10:$B$15)</f>
        <v>0.2</v>
      </c>
      <c r="T47">
        <f>IF(AND(H47="Yes",L47&lt;&gt;"Government"),G47*(_xlfn.XLOOKUP(B47,Summary!$C$10:$C$15,Summary!$B$10:$B$15)),0)</f>
        <v>0</v>
      </c>
    </row>
    <row r="48" spans="1:20" x14ac:dyDescent="0.25">
      <c r="A48">
        <v>38120</v>
      </c>
      <c r="B48" t="s">
        <v>27</v>
      </c>
      <c r="C48" t="s">
        <v>35</v>
      </c>
      <c r="D48" s="11">
        <v>1175</v>
      </c>
      <c r="E48">
        <v>10.7</v>
      </c>
      <c r="F48">
        <v>12</v>
      </c>
      <c r="G48">
        <f t="shared" si="0"/>
        <v>14100</v>
      </c>
      <c r="H48" t="s">
        <v>72</v>
      </c>
      <c r="J48" s="9">
        <v>45110</v>
      </c>
      <c r="K48" t="s">
        <v>41</v>
      </c>
      <c r="L48" t="s">
        <v>28</v>
      </c>
      <c r="M48" t="str">
        <f t="shared" si="1"/>
        <v>Private Industry</v>
      </c>
      <c r="N48" t="str">
        <f t="shared" si="2"/>
        <v>Small Order</v>
      </c>
      <c r="O48">
        <f t="shared" si="3"/>
        <v>0</v>
      </c>
      <c r="P48">
        <f t="shared" si="4"/>
        <v>0</v>
      </c>
      <c r="Q48" t="b">
        <f t="shared" si="5"/>
        <v>0</v>
      </c>
      <c r="R48">
        <f t="shared" si="6"/>
        <v>0</v>
      </c>
      <c r="S48" s="14">
        <f>_xlfn.XLOOKUP(B48,Summary!$C$10:$C$15,Summary!$B$10:$B$15)</f>
        <v>0.19</v>
      </c>
      <c r="T48">
        <f>IF(AND(H48="Yes",L48&lt;&gt;"Government"),G48*(_xlfn.XLOOKUP(B48,Summary!$C$10:$C$15,Summary!$B$10:$B$15)),0)</f>
        <v>0</v>
      </c>
    </row>
    <row r="49" spans="1:20" x14ac:dyDescent="0.25">
      <c r="A49">
        <v>24747</v>
      </c>
      <c r="B49" t="s">
        <v>42</v>
      </c>
      <c r="C49" t="s">
        <v>38</v>
      </c>
      <c r="D49" s="11">
        <v>1865</v>
      </c>
      <c r="E49">
        <v>260.47000000000003</v>
      </c>
      <c r="F49">
        <v>264</v>
      </c>
      <c r="G49">
        <f t="shared" si="0"/>
        <v>492360</v>
      </c>
      <c r="H49" t="s">
        <v>71</v>
      </c>
      <c r="J49" s="9">
        <v>45613</v>
      </c>
      <c r="K49" t="s">
        <v>39</v>
      </c>
      <c r="L49" t="s">
        <v>24</v>
      </c>
      <c r="M49" t="str">
        <f t="shared" si="1"/>
        <v>Public Sector</v>
      </c>
      <c r="N49" t="str">
        <f t="shared" si="2"/>
        <v>Large Order</v>
      </c>
      <c r="O49">
        <f t="shared" si="3"/>
        <v>113242.8</v>
      </c>
      <c r="P49">
        <f t="shared" si="4"/>
        <v>0</v>
      </c>
      <c r="Q49" t="b">
        <f t="shared" si="5"/>
        <v>0</v>
      </c>
      <c r="R49">
        <f t="shared" si="6"/>
        <v>0</v>
      </c>
      <c r="S49" s="14">
        <f>_xlfn.XLOOKUP(B49,Summary!$C$10:$C$15,Summary!$B$10:$B$15)</f>
        <v>0.24</v>
      </c>
      <c r="T49">
        <f>IF(AND(H49="Yes",L49&lt;&gt;"Government"),G49*(_xlfn.XLOOKUP(B49,Summary!$C$10:$C$15,Summary!$B$10:$B$15)),0)</f>
        <v>0</v>
      </c>
    </row>
    <row r="50" spans="1:20" x14ac:dyDescent="0.25">
      <c r="A50">
        <v>45716</v>
      </c>
      <c r="B50" t="s">
        <v>32</v>
      </c>
      <c r="C50" t="s">
        <v>38</v>
      </c>
      <c r="D50" s="11">
        <v>1731</v>
      </c>
      <c r="E50">
        <v>260.26</v>
      </c>
      <c r="F50">
        <v>352</v>
      </c>
      <c r="G50">
        <f t="shared" si="0"/>
        <v>609312</v>
      </c>
      <c r="H50" t="s">
        <v>72</v>
      </c>
      <c r="J50" s="9">
        <v>45353</v>
      </c>
      <c r="K50" t="s">
        <v>41</v>
      </c>
      <c r="L50" t="s">
        <v>24</v>
      </c>
      <c r="M50" t="str">
        <f t="shared" si="1"/>
        <v>Public Sector</v>
      </c>
      <c r="N50" t="str">
        <f t="shared" si="2"/>
        <v>Large Order</v>
      </c>
      <c r="O50">
        <f t="shared" si="3"/>
        <v>0</v>
      </c>
      <c r="P50">
        <f t="shared" si="4"/>
        <v>0</v>
      </c>
      <c r="Q50" t="b">
        <f t="shared" si="5"/>
        <v>0</v>
      </c>
      <c r="R50">
        <f t="shared" si="6"/>
        <v>0</v>
      </c>
      <c r="S50" s="14">
        <f>_xlfn.XLOOKUP(B50,Summary!$C$10:$C$15,Summary!$B$10:$B$15)</f>
        <v>0.23</v>
      </c>
      <c r="T50">
        <f>IF(AND(H50="Yes",L50&lt;&gt;"Government"),G50*(_xlfn.XLOOKUP(B50,Summary!$C$10:$C$15,Summary!$B$10:$B$15)),0)</f>
        <v>0</v>
      </c>
    </row>
    <row r="51" spans="1:20" x14ac:dyDescent="0.25">
      <c r="A51">
        <v>57775</v>
      </c>
      <c r="B51" t="s">
        <v>44</v>
      </c>
      <c r="C51" t="s">
        <v>37</v>
      </c>
      <c r="D51" s="11">
        <v>1565</v>
      </c>
      <c r="E51">
        <v>250.09</v>
      </c>
      <c r="F51">
        <v>346</v>
      </c>
      <c r="G51">
        <f t="shared" si="0"/>
        <v>541490</v>
      </c>
      <c r="H51" t="s">
        <v>71</v>
      </c>
      <c r="J51" s="9">
        <v>45591</v>
      </c>
      <c r="K51" t="s">
        <v>41</v>
      </c>
      <c r="L51" t="s">
        <v>28</v>
      </c>
      <c r="M51" t="str">
        <f t="shared" si="1"/>
        <v>Private Industry</v>
      </c>
      <c r="N51" t="str">
        <f t="shared" si="2"/>
        <v>Large Order</v>
      </c>
      <c r="O51">
        <f t="shared" si="3"/>
        <v>124542.70000000001</v>
      </c>
      <c r="P51">
        <f t="shared" si="4"/>
        <v>124542.70000000001</v>
      </c>
      <c r="Q51" t="b">
        <f t="shared" si="5"/>
        <v>1</v>
      </c>
      <c r="R51">
        <f t="shared" si="6"/>
        <v>124542.70000000001</v>
      </c>
      <c r="S51" s="14">
        <f>_xlfn.XLOOKUP(B51,Summary!$C$10:$C$15,Summary!$B$10:$B$15)</f>
        <v>0.2</v>
      </c>
      <c r="T51">
        <f>IF(AND(H51="Yes",L51&lt;&gt;"Government"),G51*(_xlfn.XLOOKUP(B51,Summary!$C$10:$C$15,Summary!$B$10:$B$15)),0)</f>
        <v>108298</v>
      </c>
    </row>
    <row r="52" spans="1:20" x14ac:dyDescent="0.25">
      <c r="A52">
        <v>27474</v>
      </c>
      <c r="B52" t="s">
        <v>43</v>
      </c>
      <c r="C52" t="s">
        <v>36</v>
      </c>
      <c r="D52" s="11">
        <v>1421</v>
      </c>
      <c r="E52">
        <v>120.29</v>
      </c>
      <c r="F52">
        <v>177</v>
      </c>
      <c r="G52">
        <f t="shared" si="0"/>
        <v>251517</v>
      </c>
      <c r="H52" t="s">
        <v>71</v>
      </c>
      <c r="J52" s="9">
        <v>45323</v>
      </c>
      <c r="K52" t="s">
        <v>40</v>
      </c>
      <c r="L52" t="s">
        <v>24</v>
      </c>
      <c r="M52" t="str">
        <f t="shared" si="1"/>
        <v>Public Sector</v>
      </c>
      <c r="N52" t="str">
        <f t="shared" si="2"/>
        <v>Small Order</v>
      </c>
      <c r="O52">
        <f t="shared" si="3"/>
        <v>57848.91</v>
      </c>
      <c r="P52">
        <f t="shared" si="4"/>
        <v>0</v>
      </c>
      <c r="Q52" t="b">
        <f t="shared" si="5"/>
        <v>0</v>
      </c>
      <c r="R52">
        <f t="shared" si="6"/>
        <v>0</v>
      </c>
      <c r="S52" s="14">
        <f>_xlfn.XLOOKUP(B52,Summary!$C$10:$C$15,Summary!$B$10:$B$15)</f>
        <v>0.21</v>
      </c>
      <c r="T52">
        <f>IF(AND(H52="Yes",L52&lt;&gt;"Government"),G52*(_xlfn.XLOOKUP(B52,Summary!$C$10:$C$15,Summary!$B$10:$B$15)),0)</f>
        <v>0</v>
      </c>
    </row>
    <row r="53" spans="1:20" x14ac:dyDescent="0.25">
      <c r="A53">
        <v>96845</v>
      </c>
      <c r="B53" t="s">
        <v>27</v>
      </c>
      <c r="C53" t="s">
        <v>30</v>
      </c>
      <c r="D53" s="11">
        <v>645</v>
      </c>
      <c r="E53">
        <v>5.45</v>
      </c>
      <c r="F53">
        <v>7</v>
      </c>
      <c r="G53">
        <f t="shared" si="0"/>
        <v>4515</v>
      </c>
      <c r="H53" t="s">
        <v>72</v>
      </c>
      <c r="J53" s="9">
        <v>45674</v>
      </c>
      <c r="K53" t="s">
        <v>40</v>
      </c>
      <c r="L53" t="s">
        <v>24</v>
      </c>
      <c r="M53" t="str">
        <f t="shared" si="1"/>
        <v>Public Sector</v>
      </c>
      <c r="N53" t="str">
        <f t="shared" si="2"/>
        <v>Small Order</v>
      </c>
      <c r="O53">
        <f t="shared" si="3"/>
        <v>0</v>
      </c>
      <c r="P53">
        <f t="shared" si="4"/>
        <v>0</v>
      </c>
      <c r="Q53" t="b">
        <f t="shared" si="5"/>
        <v>0</v>
      </c>
      <c r="R53">
        <f t="shared" si="6"/>
        <v>0</v>
      </c>
      <c r="S53" s="14">
        <f>_xlfn.XLOOKUP(B53,Summary!$C$10:$C$15,Summary!$B$10:$B$15)</f>
        <v>0.19</v>
      </c>
      <c r="T53">
        <f>IF(AND(H53="Yes",L53&lt;&gt;"Government"),G53*(_xlfn.XLOOKUP(B53,Summary!$C$10:$C$15,Summary!$B$10:$B$15)),0)</f>
        <v>0</v>
      </c>
    </row>
    <row r="54" spans="1:20" x14ac:dyDescent="0.25">
      <c r="A54">
        <v>22948</v>
      </c>
      <c r="B54" t="s">
        <v>32</v>
      </c>
      <c r="C54" t="s">
        <v>35</v>
      </c>
      <c r="D54" s="11">
        <v>991</v>
      </c>
      <c r="E54">
        <v>10.199999999999999</v>
      </c>
      <c r="F54">
        <v>14</v>
      </c>
      <c r="G54">
        <f t="shared" si="0"/>
        <v>13874</v>
      </c>
      <c r="H54" t="s">
        <v>71</v>
      </c>
      <c r="J54" s="9">
        <v>45191</v>
      </c>
      <c r="K54" t="s">
        <v>40</v>
      </c>
      <c r="L54" t="s">
        <v>34</v>
      </c>
      <c r="M54" t="str">
        <f t="shared" si="1"/>
        <v>Private Industry</v>
      </c>
      <c r="N54" t="str">
        <f t="shared" si="2"/>
        <v>Small Order</v>
      </c>
      <c r="O54">
        <f t="shared" si="3"/>
        <v>3191.02</v>
      </c>
      <c r="P54">
        <f t="shared" si="4"/>
        <v>3191.02</v>
      </c>
      <c r="Q54" t="b">
        <f t="shared" si="5"/>
        <v>1</v>
      </c>
      <c r="R54">
        <f t="shared" si="6"/>
        <v>3191.02</v>
      </c>
      <c r="S54" s="14">
        <f>_xlfn.XLOOKUP(B54,Summary!$C$10:$C$15,Summary!$B$10:$B$15)</f>
        <v>0.23</v>
      </c>
      <c r="T54">
        <f>IF(AND(H54="Yes",L54&lt;&gt;"Government"),G54*(_xlfn.XLOOKUP(B54,Summary!$C$10:$C$15,Summary!$B$10:$B$15)),0)</f>
        <v>3191.02</v>
      </c>
    </row>
    <row r="55" spans="1:20" x14ac:dyDescent="0.25">
      <c r="A55">
        <v>82668</v>
      </c>
      <c r="B55" t="s">
        <v>29</v>
      </c>
      <c r="C55" t="s">
        <v>35</v>
      </c>
      <c r="D55" s="11">
        <v>2988</v>
      </c>
      <c r="E55">
        <v>10.84</v>
      </c>
      <c r="F55">
        <v>12</v>
      </c>
      <c r="G55">
        <f t="shared" si="0"/>
        <v>35856</v>
      </c>
      <c r="H55" t="s">
        <v>72</v>
      </c>
      <c r="J55" s="9">
        <v>45572</v>
      </c>
      <c r="K55" t="s">
        <v>39</v>
      </c>
      <c r="L55" t="s">
        <v>33</v>
      </c>
      <c r="M55" t="str">
        <f t="shared" si="1"/>
        <v>Private Industry</v>
      </c>
      <c r="N55" t="str">
        <f t="shared" si="2"/>
        <v>Large Order</v>
      </c>
      <c r="O55">
        <f t="shared" si="3"/>
        <v>0</v>
      </c>
      <c r="P55">
        <f t="shared" si="4"/>
        <v>0</v>
      </c>
      <c r="Q55" t="b">
        <f t="shared" si="5"/>
        <v>0</v>
      </c>
      <c r="R55">
        <f t="shared" si="6"/>
        <v>0</v>
      </c>
      <c r="S55" s="14">
        <f>_xlfn.XLOOKUP(B55,Summary!$C$10:$C$15,Summary!$B$10:$B$15)</f>
        <v>0.22</v>
      </c>
      <c r="T55">
        <f>IF(AND(H55="Yes",L55&lt;&gt;"Government"),G55*(_xlfn.XLOOKUP(B55,Summary!$C$10:$C$15,Summary!$B$10:$B$15)),0)</f>
        <v>0</v>
      </c>
    </row>
    <row r="56" spans="1:20" x14ac:dyDescent="0.25">
      <c r="A56">
        <v>48238</v>
      </c>
      <c r="B56" t="s">
        <v>32</v>
      </c>
      <c r="C56" t="s">
        <v>30</v>
      </c>
      <c r="D56" s="11">
        <v>3627</v>
      </c>
      <c r="E56">
        <v>5.0599999999999996</v>
      </c>
      <c r="F56">
        <v>6</v>
      </c>
      <c r="G56">
        <f t="shared" si="0"/>
        <v>21762</v>
      </c>
      <c r="H56" t="s">
        <v>71</v>
      </c>
      <c r="J56" s="9">
        <v>45334</v>
      </c>
      <c r="K56" t="s">
        <v>40</v>
      </c>
      <c r="L56" t="s">
        <v>33</v>
      </c>
      <c r="M56" t="str">
        <f t="shared" si="1"/>
        <v>Private Industry</v>
      </c>
      <c r="N56" t="str">
        <f t="shared" si="2"/>
        <v>Large Order</v>
      </c>
      <c r="O56">
        <f t="shared" si="3"/>
        <v>5005.26</v>
      </c>
      <c r="P56">
        <f t="shared" si="4"/>
        <v>5005.26</v>
      </c>
      <c r="Q56" t="b">
        <f t="shared" si="5"/>
        <v>1</v>
      </c>
      <c r="R56">
        <f t="shared" si="6"/>
        <v>5005.26</v>
      </c>
      <c r="S56" s="14">
        <f>_xlfn.XLOOKUP(B56,Summary!$C$10:$C$15,Summary!$B$10:$B$15)</f>
        <v>0.23</v>
      </c>
      <c r="T56">
        <f>IF(AND(H56="Yes",L56&lt;&gt;"Government"),G56*(_xlfn.XLOOKUP(B56,Summary!$C$10:$C$15,Summary!$B$10:$B$15)),0)</f>
        <v>5005.26</v>
      </c>
    </row>
    <row r="57" spans="1:20" x14ac:dyDescent="0.25">
      <c r="A57">
        <v>89243</v>
      </c>
      <c r="B57" t="s">
        <v>27</v>
      </c>
      <c r="C57" t="s">
        <v>25</v>
      </c>
      <c r="D57" s="11">
        <v>214</v>
      </c>
      <c r="E57">
        <v>3.01</v>
      </c>
      <c r="F57">
        <v>4</v>
      </c>
      <c r="G57">
        <f t="shared" si="0"/>
        <v>856</v>
      </c>
      <c r="H57" t="s">
        <v>72</v>
      </c>
      <c r="J57" s="9">
        <v>45761</v>
      </c>
      <c r="K57" t="s">
        <v>39</v>
      </c>
      <c r="L57" t="s">
        <v>34</v>
      </c>
      <c r="M57" t="str">
        <f t="shared" si="1"/>
        <v>Private Industry</v>
      </c>
      <c r="N57" t="str">
        <f t="shared" si="2"/>
        <v>Small Order</v>
      </c>
      <c r="O57">
        <f t="shared" si="3"/>
        <v>0</v>
      </c>
      <c r="P57">
        <f t="shared" si="4"/>
        <v>0</v>
      </c>
      <c r="Q57" t="b">
        <f t="shared" si="5"/>
        <v>0</v>
      </c>
      <c r="R57">
        <f t="shared" si="6"/>
        <v>0</v>
      </c>
      <c r="S57" s="14">
        <f>_xlfn.XLOOKUP(B57,Summary!$C$10:$C$15,Summary!$B$10:$B$15)</f>
        <v>0.19</v>
      </c>
      <c r="T57">
        <f>IF(AND(H57="Yes",L57&lt;&gt;"Government"),G57*(_xlfn.XLOOKUP(B57,Summary!$C$10:$C$15,Summary!$B$10:$B$15)),0)</f>
        <v>0</v>
      </c>
    </row>
    <row r="58" spans="1:20" x14ac:dyDescent="0.25">
      <c r="A58">
        <v>56028</v>
      </c>
      <c r="B58" t="s">
        <v>44</v>
      </c>
      <c r="C58" t="s">
        <v>30</v>
      </c>
      <c r="D58" s="11">
        <v>1830</v>
      </c>
      <c r="E58">
        <v>5.23</v>
      </c>
      <c r="F58">
        <v>8</v>
      </c>
      <c r="G58">
        <f t="shared" si="0"/>
        <v>14640</v>
      </c>
      <c r="H58" t="s">
        <v>71</v>
      </c>
      <c r="J58" s="9">
        <v>45789</v>
      </c>
      <c r="K58" t="s">
        <v>39</v>
      </c>
      <c r="L58" t="s">
        <v>24</v>
      </c>
      <c r="M58" t="str">
        <f t="shared" si="1"/>
        <v>Public Sector</v>
      </c>
      <c r="N58" t="str">
        <f t="shared" si="2"/>
        <v>Large Order</v>
      </c>
      <c r="O58">
        <f t="shared" si="3"/>
        <v>3367.2000000000003</v>
      </c>
      <c r="P58">
        <f t="shared" si="4"/>
        <v>0</v>
      </c>
      <c r="Q58" t="b">
        <f t="shared" si="5"/>
        <v>0</v>
      </c>
      <c r="R58">
        <f t="shared" si="6"/>
        <v>0</v>
      </c>
      <c r="S58" s="14">
        <f>_xlfn.XLOOKUP(B58,Summary!$C$10:$C$15,Summary!$B$10:$B$15)</f>
        <v>0.2</v>
      </c>
      <c r="T58">
        <f>IF(AND(H58="Yes",L58&lt;&gt;"Government"),G58*(_xlfn.XLOOKUP(B58,Summary!$C$10:$C$15,Summary!$B$10:$B$15)),0)</f>
        <v>0</v>
      </c>
    </row>
    <row r="59" spans="1:20" x14ac:dyDescent="0.25">
      <c r="A59">
        <v>48315</v>
      </c>
      <c r="B59" t="s">
        <v>29</v>
      </c>
      <c r="C59" t="s">
        <v>37</v>
      </c>
      <c r="D59" s="11">
        <v>1738</v>
      </c>
      <c r="E59">
        <v>250.11</v>
      </c>
      <c r="F59">
        <v>366</v>
      </c>
      <c r="G59">
        <f t="shared" si="0"/>
        <v>636108</v>
      </c>
      <c r="H59" t="s">
        <v>71</v>
      </c>
      <c r="J59" s="9">
        <v>45174</v>
      </c>
      <c r="K59" t="s">
        <v>40</v>
      </c>
      <c r="L59" t="s">
        <v>31</v>
      </c>
      <c r="M59" t="str">
        <f t="shared" si="1"/>
        <v>Private Industry</v>
      </c>
      <c r="N59" t="str">
        <f t="shared" si="2"/>
        <v>Large Order</v>
      </c>
      <c r="O59">
        <f t="shared" si="3"/>
        <v>146304.84</v>
      </c>
      <c r="P59">
        <f t="shared" si="4"/>
        <v>146304.84</v>
      </c>
      <c r="Q59" t="b">
        <f t="shared" si="5"/>
        <v>1</v>
      </c>
      <c r="R59">
        <f t="shared" si="6"/>
        <v>146304.84</v>
      </c>
      <c r="S59" s="14">
        <f>_xlfn.XLOOKUP(B59,Summary!$C$10:$C$15,Summary!$B$10:$B$15)</f>
        <v>0.22</v>
      </c>
      <c r="T59">
        <f>IF(AND(H59="Yes",L59&lt;&gt;"Government"),G59*(_xlfn.XLOOKUP(B59,Summary!$C$10:$C$15,Summary!$B$10:$B$15)),0)</f>
        <v>139943.76</v>
      </c>
    </row>
    <row r="60" spans="1:20" x14ac:dyDescent="0.25">
      <c r="A60">
        <v>48477</v>
      </c>
      <c r="B60" t="s">
        <v>43</v>
      </c>
      <c r="C60" t="s">
        <v>35</v>
      </c>
      <c r="D60" s="11">
        <v>912</v>
      </c>
      <c r="E60">
        <v>10.66</v>
      </c>
      <c r="F60">
        <v>16</v>
      </c>
      <c r="G60">
        <f t="shared" si="0"/>
        <v>14592</v>
      </c>
      <c r="H60" t="s">
        <v>71</v>
      </c>
      <c r="J60" s="9">
        <v>45266</v>
      </c>
      <c r="K60" t="s">
        <v>26</v>
      </c>
      <c r="L60" t="s">
        <v>31</v>
      </c>
      <c r="M60" t="str">
        <f t="shared" si="1"/>
        <v>Private Industry</v>
      </c>
      <c r="N60" t="str">
        <f t="shared" si="2"/>
        <v>Small Order</v>
      </c>
      <c r="O60">
        <f t="shared" si="3"/>
        <v>3356.1600000000003</v>
      </c>
      <c r="P60">
        <f t="shared" si="4"/>
        <v>3356.1600000000003</v>
      </c>
      <c r="Q60" t="b">
        <f t="shared" si="5"/>
        <v>1</v>
      </c>
      <c r="R60">
        <f t="shared" si="6"/>
        <v>3356.1600000000003</v>
      </c>
      <c r="S60" s="14">
        <f>_xlfn.XLOOKUP(B60,Summary!$C$10:$C$15,Summary!$B$10:$B$15)</f>
        <v>0.21</v>
      </c>
      <c r="T60">
        <f>IF(AND(H60="Yes",L60&lt;&gt;"Government"),G60*(_xlfn.XLOOKUP(B60,Summary!$C$10:$C$15,Summary!$B$10:$B$15)),0)</f>
        <v>3064.3199999999997</v>
      </c>
    </row>
    <row r="61" spans="1:20" x14ac:dyDescent="0.25">
      <c r="A61">
        <v>15750</v>
      </c>
      <c r="B61" t="s">
        <v>29</v>
      </c>
      <c r="C61" t="s">
        <v>25</v>
      </c>
      <c r="D61" s="11">
        <v>4243</v>
      </c>
      <c r="E61">
        <v>3.35</v>
      </c>
      <c r="F61">
        <v>4</v>
      </c>
      <c r="G61">
        <f t="shared" si="0"/>
        <v>16972</v>
      </c>
      <c r="H61" t="s">
        <v>72</v>
      </c>
      <c r="J61" s="9">
        <v>45248</v>
      </c>
      <c r="K61" t="s">
        <v>39</v>
      </c>
      <c r="L61" t="s">
        <v>33</v>
      </c>
      <c r="M61" t="str">
        <f t="shared" si="1"/>
        <v>Private Industry</v>
      </c>
      <c r="N61" t="str">
        <f t="shared" si="2"/>
        <v>Large Order</v>
      </c>
      <c r="O61">
        <f t="shared" si="3"/>
        <v>0</v>
      </c>
      <c r="P61">
        <f t="shared" si="4"/>
        <v>0</v>
      </c>
      <c r="Q61" t="b">
        <f t="shared" si="5"/>
        <v>0</v>
      </c>
      <c r="R61">
        <f t="shared" si="6"/>
        <v>0</v>
      </c>
      <c r="S61" s="14">
        <f>_xlfn.XLOOKUP(B61,Summary!$C$10:$C$15,Summary!$B$10:$B$15)</f>
        <v>0.22</v>
      </c>
      <c r="T61">
        <f>IF(AND(H61="Yes",L61&lt;&gt;"Government"),G61*(_xlfn.XLOOKUP(B61,Summary!$C$10:$C$15,Summary!$B$10:$B$15)),0)</f>
        <v>0</v>
      </c>
    </row>
    <row r="62" spans="1:20" x14ac:dyDescent="0.25">
      <c r="A62">
        <v>90100</v>
      </c>
      <c r="B62" t="s">
        <v>32</v>
      </c>
      <c r="C62" t="s">
        <v>38</v>
      </c>
      <c r="D62" s="11">
        <v>270</v>
      </c>
      <c r="E62">
        <v>260.60000000000002</v>
      </c>
      <c r="F62">
        <v>266</v>
      </c>
      <c r="G62">
        <f t="shared" si="0"/>
        <v>71820</v>
      </c>
      <c r="H62" t="s">
        <v>72</v>
      </c>
      <c r="J62" s="9">
        <v>45508</v>
      </c>
      <c r="K62" t="s">
        <v>41</v>
      </c>
      <c r="L62" t="s">
        <v>24</v>
      </c>
      <c r="M62" t="str">
        <f t="shared" si="1"/>
        <v>Public Sector</v>
      </c>
      <c r="N62" t="str">
        <f t="shared" si="2"/>
        <v>Small Order</v>
      </c>
      <c r="O62">
        <f t="shared" si="3"/>
        <v>0</v>
      </c>
      <c r="P62">
        <f t="shared" si="4"/>
        <v>0</v>
      </c>
      <c r="Q62" t="b">
        <f t="shared" si="5"/>
        <v>0</v>
      </c>
      <c r="R62">
        <f t="shared" si="6"/>
        <v>0</v>
      </c>
      <c r="S62" s="14">
        <f>_xlfn.XLOOKUP(B62,Summary!$C$10:$C$15,Summary!$B$10:$B$15)</f>
        <v>0.23</v>
      </c>
      <c r="T62">
        <f>IF(AND(H62="Yes",L62&lt;&gt;"Government"),G62*(_xlfn.XLOOKUP(B62,Summary!$C$10:$C$15,Summary!$B$10:$B$15)),0)</f>
        <v>0</v>
      </c>
    </row>
    <row r="63" spans="1:20" x14ac:dyDescent="0.25">
      <c r="A63">
        <v>95876</v>
      </c>
      <c r="B63" t="s">
        <v>43</v>
      </c>
      <c r="C63" t="s">
        <v>25</v>
      </c>
      <c r="D63" s="11">
        <v>1743</v>
      </c>
      <c r="E63">
        <v>3.24</v>
      </c>
      <c r="F63">
        <v>5</v>
      </c>
      <c r="G63">
        <f t="shared" si="0"/>
        <v>8715</v>
      </c>
      <c r="H63" t="s">
        <v>71</v>
      </c>
      <c r="J63" s="9">
        <v>45157</v>
      </c>
      <c r="K63" t="s">
        <v>41</v>
      </c>
      <c r="L63" t="s">
        <v>24</v>
      </c>
      <c r="M63" t="str">
        <f t="shared" si="1"/>
        <v>Public Sector</v>
      </c>
      <c r="N63" t="str">
        <f t="shared" si="2"/>
        <v>Large Order</v>
      </c>
      <c r="O63">
        <f t="shared" si="3"/>
        <v>2004.45</v>
      </c>
      <c r="P63">
        <f t="shared" si="4"/>
        <v>0</v>
      </c>
      <c r="Q63" t="b">
        <f t="shared" si="5"/>
        <v>0</v>
      </c>
      <c r="R63">
        <f t="shared" si="6"/>
        <v>0</v>
      </c>
      <c r="S63" s="14">
        <f>_xlfn.XLOOKUP(B63,Summary!$C$10:$C$15,Summary!$B$10:$B$15)</f>
        <v>0.21</v>
      </c>
      <c r="T63">
        <f>IF(AND(H63="Yes",L63&lt;&gt;"Government"),G63*(_xlfn.XLOOKUP(B63,Summary!$C$10:$C$15,Summary!$B$10:$B$15)),0)</f>
        <v>0</v>
      </c>
    </row>
    <row r="64" spans="1:20" x14ac:dyDescent="0.25">
      <c r="A64">
        <v>18671</v>
      </c>
      <c r="B64" t="s">
        <v>44</v>
      </c>
      <c r="C64" t="s">
        <v>35</v>
      </c>
      <c r="D64" s="11">
        <v>2431</v>
      </c>
      <c r="E64">
        <v>10.95</v>
      </c>
      <c r="F64">
        <v>12</v>
      </c>
      <c r="G64">
        <f t="shared" si="0"/>
        <v>29172</v>
      </c>
      <c r="H64" t="s">
        <v>72</v>
      </c>
      <c r="J64" s="9">
        <v>45412</v>
      </c>
      <c r="K64" t="s">
        <v>40</v>
      </c>
      <c r="L64" t="s">
        <v>31</v>
      </c>
      <c r="M64" t="str">
        <f t="shared" si="1"/>
        <v>Private Industry</v>
      </c>
      <c r="N64" t="str">
        <f t="shared" si="2"/>
        <v>Large Order</v>
      </c>
      <c r="O64">
        <f t="shared" si="3"/>
        <v>0</v>
      </c>
      <c r="P64">
        <f t="shared" si="4"/>
        <v>0</v>
      </c>
      <c r="Q64" t="b">
        <f t="shared" si="5"/>
        <v>0</v>
      </c>
      <c r="R64">
        <f t="shared" si="6"/>
        <v>0</v>
      </c>
      <c r="S64" s="14">
        <f>_xlfn.XLOOKUP(B64,Summary!$C$10:$C$15,Summary!$B$10:$B$15)</f>
        <v>0.2</v>
      </c>
      <c r="T64">
        <f>IF(AND(H64="Yes",L64&lt;&gt;"Government"),G64*(_xlfn.XLOOKUP(B64,Summary!$C$10:$C$15,Summary!$B$10:$B$15)),0)</f>
        <v>0</v>
      </c>
    </row>
    <row r="65" spans="1:20" x14ac:dyDescent="0.25">
      <c r="A65">
        <v>87519</v>
      </c>
      <c r="B65" t="s">
        <v>29</v>
      </c>
      <c r="C65" t="s">
        <v>30</v>
      </c>
      <c r="D65" s="11">
        <v>1666</v>
      </c>
      <c r="E65">
        <v>5.97</v>
      </c>
      <c r="F65">
        <v>7</v>
      </c>
      <c r="G65">
        <f t="shared" si="0"/>
        <v>11662</v>
      </c>
      <c r="H65" t="s">
        <v>71</v>
      </c>
      <c r="J65" s="9">
        <v>45468</v>
      </c>
      <c r="K65" t="s">
        <v>40</v>
      </c>
      <c r="L65" t="s">
        <v>24</v>
      </c>
      <c r="M65" t="str">
        <f t="shared" si="1"/>
        <v>Public Sector</v>
      </c>
      <c r="N65" t="str">
        <f t="shared" si="2"/>
        <v>Large Order</v>
      </c>
      <c r="O65">
        <f t="shared" si="3"/>
        <v>2682.26</v>
      </c>
      <c r="P65">
        <f t="shared" si="4"/>
        <v>0</v>
      </c>
      <c r="Q65" t="b">
        <f t="shared" si="5"/>
        <v>0</v>
      </c>
      <c r="R65">
        <f t="shared" si="6"/>
        <v>0</v>
      </c>
      <c r="S65" s="14">
        <f>_xlfn.XLOOKUP(B65,Summary!$C$10:$C$15,Summary!$B$10:$B$15)</f>
        <v>0.22</v>
      </c>
      <c r="T65">
        <f>IF(AND(H65="Yes",L65&lt;&gt;"Government"),G65*(_xlfn.XLOOKUP(B65,Summary!$C$10:$C$15,Summary!$B$10:$B$15)),0)</f>
        <v>0</v>
      </c>
    </row>
    <row r="66" spans="1:20" x14ac:dyDescent="0.25">
      <c r="A66">
        <v>11491</v>
      </c>
      <c r="B66" t="s">
        <v>44</v>
      </c>
      <c r="C66" t="s">
        <v>36</v>
      </c>
      <c r="D66" s="11">
        <v>567</v>
      </c>
      <c r="E66">
        <v>120.22</v>
      </c>
      <c r="F66">
        <v>140</v>
      </c>
      <c r="G66">
        <f t="shared" si="0"/>
        <v>79380</v>
      </c>
      <c r="H66" t="s">
        <v>71</v>
      </c>
      <c r="J66" s="9">
        <v>45227</v>
      </c>
      <c r="K66" t="s">
        <v>40</v>
      </c>
      <c r="L66" t="s">
        <v>33</v>
      </c>
      <c r="M66" t="str">
        <f t="shared" si="1"/>
        <v>Private Industry</v>
      </c>
      <c r="N66" t="str">
        <f t="shared" si="2"/>
        <v>Small Order</v>
      </c>
      <c r="O66">
        <f t="shared" si="3"/>
        <v>18257.400000000001</v>
      </c>
      <c r="P66">
        <f t="shared" si="4"/>
        <v>18257.400000000001</v>
      </c>
      <c r="Q66" t="b">
        <f t="shared" si="5"/>
        <v>1</v>
      </c>
      <c r="R66">
        <f t="shared" si="6"/>
        <v>18257.400000000001</v>
      </c>
      <c r="S66" s="14">
        <f>_xlfn.XLOOKUP(B66,Summary!$C$10:$C$15,Summary!$B$10:$B$15)</f>
        <v>0.2</v>
      </c>
      <c r="T66">
        <f>IF(AND(H66="Yes",L66&lt;&gt;"Government"),G66*(_xlfn.XLOOKUP(B66,Summary!$C$10:$C$15,Summary!$B$10:$B$15)),0)</f>
        <v>15876</v>
      </c>
    </row>
    <row r="67" spans="1:20" x14ac:dyDescent="0.25">
      <c r="A67">
        <v>78612</v>
      </c>
      <c r="B67" t="s">
        <v>44</v>
      </c>
      <c r="C67" t="s">
        <v>35</v>
      </c>
      <c r="D67" s="11">
        <v>1614</v>
      </c>
      <c r="E67">
        <v>10.93</v>
      </c>
      <c r="F67">
        <v>13</v>
      </c>
      <c r="G67">
        <f t="shared" ref="G67:G130" si="7">D67*F67</f>
        <v>20982</v>
      </c>
      <c r="H67" t="s">
        <v>71</v>
      </c>
      <c r="J67" s="9">
        <v>45329</v>
      </c>
      <c r="K67" t="s">
        <v>41</v>
      </c>
      <c r="L67" t="s">
        <v>28</v>
      </c>
      <c r="M67" t="str">
        <f t="shared" ref="M67:M130" si="8">IF(L67="Government","Public Sector","Private Industry")</f>
        <v>Private Industry</v>
      </c>
      <c r="N67" t="str">
        <f t="shared" ref="N67:N130" si="9">IF(D67&gt;1500,"Large Order","Small Order")</f>
        <v>Large Order</v>
      </c>
      <c r="O67">
        <f t="shared" ref="O67:O130" si="10">IF(H67="Yes",G67*0.23,0)</f>
        <v>4825.8600000000006</v>
      </c>
      <c r="P67">
        <f t="shared" ref="P67:P130" si="11">IF(Q67,G67*0.23,0)</f>
        <v>4825.8600000000006</v>
      </c>
      <c r="Q67" t="b">
        <f t="shared" ref="Q67:Q130" si="12">AND(H67="Yes",L67&lt;&gt;"Government")</f>
        <v>1</v>
      </c>
      <c r="R67">
        <f t="shared" ref="R67:R130" si="13">IF(AND(H67="Yes",L67&lt;&gt;"Government"),G67*0.23,0)</f>
        <v>4825.8600000000006</v>
      </c>
      <c r="S67" s="14">
        <f>_xlfn.XLOOKUP(B67,Summary!$C$10:$C$15,Summary!$B$10:$B$15)</f>
        <v>0.2</v>
      </c>
      <c r="T67">
        <f>IF(AND(H67="Yes",L67&lt;&gt;"Government"),G67*(_xlfn.XLOOKUP(B67,Summary!$C$10:$C$15,Summary!$B$10:$B$15)),0)</f>
        <v>4196.4000000000005</v>
      </c>
    </row>
    <row r="68" spans="1:20" x14ac:dyDescent="0.25">
      <c r="A68">
        <v>79601</v>
      </c>
      <c r="B68" t="s">
        <v>44</v>
      </c>
      <c r="C68" t="s">
        <v>35</v>
      </c>
      <c r="D68" s="11">
        <v>2729</v>
      </c>
      <c r="E68">
        <v>10.62</v>
      </c>
      <c r="F68">
        <v>13</v>
      </c>
      <c r="G68">
        <f t="shared" si="7"/>
        <v>35477</v>
      </c>
      <c r="H68" t="s">
        <v>71</v>
      </c>
      <c r="J68" s="9">
        <v>45661</v>
      </c>
      <c r="K68" t="s">
        <v>39</v>
      </c>
      <c r="L68" t="s">
        <v>33</v>
      </c>
      <c r="M68" t="str">
        <f t="shared" si="8"/>
        <v>Private Industry</v>
      </c>
      <c r="N68" t="str">
        <f t="shared" si="9"/>
        <v>Large Order</v>
      </c>
      <c r="O68">
        <f t="shared" si="10"/>
        <v>8159.71</v>
      </c>
      <c r="P68">
        <f t="shared" si="11"/>
        <v>8159.71</v>
      </c>
      <c r="Q68" t="b">
        <f t="shared" si="12"/>
        <v>1</v>
      </c>
      <c r="R68">
        <f t="shared" si="13"/>
        <v>8159.71</v>
      </c>
      <c r="S68" s="14">
        <f>_xlfn.XLOOKUP(B68,Summary!$C$10:$C$15,Summary!$B$10:$B$15)</f>
        <v>0.2</v>
      </c>
      <c r="T68">
        <f>IF(AND(H68="Yes",L68&lt;&gt;"Government"),G68*(_xlfn.XLOOKUP(B68,Summary!$C$10:$C$15,Summary!$B$10:$B$15)),0)</f>
        <v>7095.4000000000005</v>
      </c>
    </row>
    <row r="69" spans="1:20" x14ac:dyDescent="0.25">
      <c r="A69">
        <v>13202</v>
      </c>
      <c r="B69" t="s">
        <v>43</v>
      </c>
      <c r="C69" t="s">
        <v>36</v>
      </c>
      <c r="D69" s="11">
        <v>2832</v>
      </c>
      <c r="E69">
        <v>120.01</v>
      </c>
      <c r="F69">
        <v>142</v>
      </c>
      <c r="G69">
        <f t="shared" si="7"/>
        <v>402144</v>
      </c>
      <c r="H69" t="s">
        <v>72</v>
      </c>
      <c r="J69" s="9">
        <v>45721</v>
      </c>
      <c r="K69" t="s">
        <v>40</v>
      </c>
      <c r="L69" t="s">
        <v>24</v>
      </c>
      <c r="M69" t="str">
        <f t="shared" si="8"/>
        <v>Public Sector</v>
      </c>
      <c r="N69" t="str">
        <f t="shared" si="9"/>
        <v>Large Order</v>
      </c>
      <c r="O69">
        <f t="shared" si="10"/>
        <v>0</v>
      </c>
      <c r="P69">
        <f t="shared" si="11"/>
        <v>0</v>
      </c>
      <c r="Q69" t="b">
        <f t="shared" si="12"/>
        <v>0</v>
      </c>
      <c r="R69">
        <f t="shared" si="13"/>
        <v>0</v>
      </c>
      <c r="S69" s="14">
        <f>_xlfn.XLOOKUP(B69,Summary!$C$10:$C$15,Summary!$B$10:$B$15)</f>
        <v>0.21</v>
      </c>
      <c r="T69">
        <f>IF(AND(H69="Yes",L69&lt;&gt;"Government"),G69*(_xlfn.XLOOKUP(B69,Summary!$C$10:$C$15,Summary!$B$10:$B$15)),0)</f>
        <v>0</v>
      </c>
    </row>
    <row r="70" spans="1:20" x14ac:dyDescent="0.25">
      <c r="A70">
        <v>29383</v>
      </c>
      <c r="B70" t="s">
        <v>42</v>
      </c>
      <c r="C70" t="s">
        <v>25</v>
      </c>
      <c r="D70" s="11">
        <v>2156</v>
      </c>
      <c r="E70">
        <v>3.04</v>
      </c>
      <c r="F70">
        <v>4</v>
      </c>
      <c r="G70">
        <f t="shared" si="7"/>
        <v>8624</v>
      </c>
      <c r="H70" t="s">
        <v>72</v>
      </c>
      <c r="J70" s="9">
        <v>45462</v>
      </c>
      <c r="K70" t="s">
        <v>41</v>
      </c>
      <c r="L70" t="s">
        <v>33</v>
      </c>
      <c r="M70" t="str">
        <f t="shared" si="8"/>
        <v>Private Industry</v>
      </c>
      <c r="N70" t="str">
        <f t="shared" si="9"/>
        <v>Large Order</v>
      </c>
      <c r="O70">
        <f t="shared" si="10"/>
        <v>0</v>
      </c>
      <c r="P70">
        <f t="shared" si="11"/>
        <v>0</v>
      </c>
      <c r="Q70" t="b">
        <f t="shared" si="12"/>
        <v>0</v>
      </c>
      <c r="R70">
        <f t="shared" si="13"/>
        <v>0</v>
      </c>
      <c r="S70" s="14">
        <f>_xlfn.XLOOKUP(B70,Summary!$C$10:$C$15,Summary!$B$10:$B$15)</f>
        <v>0.24</v>
      </c>
      <c r="T70">
        <f>IF(AND(H70="Yes",L70&lt;&gt;"Government"),G70*(_xlfn.XLOOKUP(B70,Summary!$C$10:$C$15,Summary!$B$10:$B$15)),0)</f>
        <v>0</v>
      </c>
    </row>
    <row r="71" spans="1:20" x14ac:dyDescent="0.25">
      <c r="A71">
        <v>44896</v>
      </c>
      <c r="B71" t="s">
        <v>27</v>
      </c>
      <c r="C71" t="s">
        <v>36</v>
      </c>
      <c r="D71" s="11">
        <v>681</v>
      </c>
      <c r="E71">
        <v>120.46</v>
      </c>
      <c r="F71">
        <v>128</v>
      </c>
      <c r="G71">
        <f t="shared" si="7"/>
        <v>87168</v>
      </c>
      <c r="H71" t="s">
        <v>72</v>
      </c>
      <c r="J71" s="9">
        <v>45630</v>
      </c>
      <c r="K71" t="s">
        <v>41</v>
      </c>
      <c r="L71" t="s">
        <v>28</v>
      </c>
      <c r="M71" t="str">
        <f t="shared" si="8"/>
        <v>Private Industry</v>
      </c>
      <c r="N71" t="str">
        <f t="shared" si="9"/>
        <v>Small Order</v>
      </c>
      <c r="O71">
        <f t="shared" si="10"/>
        <v>0</v>
      </c>
      <c r="P71">
        <f t="shared" si="11"/>
        <v>0</v>
      </c>
      <c r="Q71" t="b">
        <f t="shared" si="12"/>
        <v>0</v>
      </c>
      <c r="R71">
        <f t="shared" si="13"/>
        <v>0</v>
      </c>
      <c r="S71" s="14">
        <f>_xlfn.XLOOKUP(B71,Summary!$C$10:$C$15,Summary!$B$10:$B$15)</f>
        <v>0.19</v>
      </c>
      <c r="T71">
        <f>IF(AND(H71="Yes",L71&lt;&gt;"Government"),G71*(_xlfn.XLOOKUP(B71,Summary!$C$10:$C$15,Summary!$B$10:$B$15)),0)</f>
        <v>0</v>
      </c>
    </row>
    <row r="72" spans="1:20" x14ac:dyDescent="0.25">
      <c r="A72">
        <v>91260</v>
      </c>
      <c r="B72" t="s">
        <v>27</v>
      </c>
      <c r="C72" t="s">
        <v>38</v>
      </c>
      <c r="D72" s="11">
        <v>711</v>
      </c>
      <c r="E72">
        <v>260.97000000000003</v>
      </c>
      <c r="F72">
        <v>272</v>
      </c>
      <c r="G72">
        <f t="shared" si="7"/>
        <v>193392</v>
      </c>
      <c r="H72" t="s">
        <v>71</v>
      </c>
      <c r="J72" s="9">
        <v>45246</v>
      </c>
      <c r="K72" t="s">
        <v>40</v>
      </c>
      <c r="L72" t="s">
        <v>28</v>
      </c>
      <c r="M72" t="str">
        <f t="shared" si="8"/>
        <v>Private Industry</v>
      </c>
      <c r="N72" t="str">
        <f t="shared" si="9"/>
        <v>Small Order</v>
      </c>
      <c r="O72">
        <f t="shared" si="10"/>
        <v>44480.160000000003</v>
      </c>
      <c r="P72">
        <f t="shared" si="11"/>
        <v>44480.160000000003</v>
      </c>
      <c r="Q72" t="b">
        <f t="shared" si="12"/>
        <v>1</v>
      </c>
      <c r="R72">
        <f t="shared" si="13"/>
        <v>44480.160000000003</v>
      </c>
      <c r="S72" s="14">
        <f>_xlfn.XLOOKUP(B72,Summary!$C$10:$C$15,Summary!$B$10:$B$15)</f>
        <v>0.19</v>
      </c>
      <c r="T72">
        <f>IF(AND(H72="Yes",L72&lt;&gt;"Government"),G72*(_xlfn.XLOOKUP(B72,Summary!$C$10:$C$15,Summary!$B$10:$B$15)),0)</f>
        <v>36744.480000000003</v>
      </c>
    </row>
    <row r="73" spans="1:20" x14ac:dyDescent="0.25">
      <c r="A73">
        <v>33125</v>
      </c>
      <c r="B73" t="s">
        <v>44</v>
      </c>
      <c r="C73" t="s">
        <v>37</v>
      </c>
      <c r="D73" s="11">
        <v>1817</v>
      </c>
      <c r="E73">
        <v>250.97</v>
      </c>
      <c r="F73">
        <v>357</v>
      </c>
      <c r="G73">
        <f t="shared" si="7"/>
        <v>648669</v>
      </c>
      <c r="H73" t="s">
        <v>71</v>
      </c>
      <c r="J73" s="9">
        <v>45074</v>
      </c>
      <c r="K73" t="s">
        <v>26</v>
      </c>
      <c r="L73" t="s">
        <v>24</v>
      </c>
      <c r="M73" t="str">
        <f t="shared" si="8"/>
        <v>Public Sector</v>
      </c>
      <c r="N73" t="str">
        <f t="shared" si="9"/>
        <v>Large Order</v>
      </c>
      <c r="O73">
        <f t="shared" si="10"/>
        <v>149193.87</v>
      </c>
      <c r="P73">
        <f t="shared" si="11"/>
        <v>0</v>
      </c>
      <c r="Q73" t="b">
        <f t="shared" si="12"/>
        <v>0</v>
      </c>
      <c r="R73">
        <f t="shared" si="13"/>
        <v>0</v>
      </c>
      <c r="S73" s="14">
        <f>_xlfn.XLOOKUP(B73,Summary!$C$10:$C$15,Summary!$B$10:$B$15)</f>
        <v>0.2</v>
      </c>
      <c r="T73">
        <f>IF(AND(H73="Yes",L73&lt;&gt;"Government"),G73*(_xlfn.XLOOKUP(B73,Summary!$C$10:$C$15,Summary!$B$10:$B$15)),0)</f>
        <v>0</v>
      </c>
    </row>
    <row r="74" spans="1:20" x14ac:dyDescent="0.25">
      <c r="A74">
        <v>74220</v>
      </c>
      <c r="B74" t="s">
        <v>27</v>
      </c>
      <c r="C74" t="s">
        <v>35</v>
      </c>
      <c r="D74" s="11">
        <v>2349</v>
      </c>
      <c r="E74">
        <v>10.35</v>
      </c>
      <c r="F74">
        <v>16</v>
      </c>
      <c r="G74">
        <f t="shared" si="7"/>
        <v>37584</v>
      </c>
      <c r="H74" t="s">
        <v>71</v>
      </c>
      <c r="J74" s="9">
        <v>45407</v>
      </c>
      <c r="K74" t="s">
        <v>40</v>
      </c>
      <c r="L74" t="s">
        <v>24</v>
      </c>
      <c r="M74" t="str">
        <f t="shared" si="8"/>
        <v>Public Sector</v>
      </c>
      <c r="N74" t="str">
        <f t="shared" si="9"/>
        <v>Large Order</v>
      </c>
      <c r="O74">
        <f t="shared" si="10"/>
        <v>8644.32</v>
      </c>
      <c r="P74">
        <f t="shared" si="11"/>
        <v>0</v>
      </c>
      <c r="Q74" t="b">
        <f t="shared" si="12"/>
        <v>0</v>
      </c>
      <c r="R74">
        <f t="shared" si="13"/>
        <v>0</v>
      </c>
      <c r="S74" s="14">
        <f>_xlfn.XLOOKUP(B74,Summary!$C$10:$C$15,Summary!$B$10:$B$15)</f>
        <v>0.19</v>
      </c>
      <c r="T74">
        <f>IF(AND(H74="Yes",L74&lt;&gt;"Government"),G74*(_xlfn.XLOOKUP(B74,Summary!$C$10:$C$15,Summary!$B$10:$B$15)),0)</f>
        <v>0</v>
      </c>
    </row>
    <row r="75" spans="1:20" x14ac:dyDescent="0.25">
      <c r="A75">
        <v>18122</v>
      </c>
      <c r="B75" t="s">
        <v>44</v>
      </c>
      <c r="C75" t="s">
        <v>25</v>
      </c>
      <c r="D75" s="11">
        <v>742</v>
      </c>
      <c r="E75">
        <v>3.19</v>
      </c>
      <c r="F75">
        <v>5</v>
      </c>
      <c r="G75">
        <f t="shared" si="7"/>
        <v>3710</v>
      </c>
      <c r="H75" t="s">
        <v>71</v>
      </c>
      <c r="J75" s="9">
        <v>45638</v>
      </c>
      <c r="K75" t="s">
        <v>39</v>
      </c>
      <c r="L75" t="s">
        <v>33</v>
      </c>
      <c r="M75" t="str">
        <f t="shared" si="8"/>
        <v>Private Industry</v>
      </c>
      <c r="N75" t="str">
        <f t="shared" si="9"/>
        <v>Small Order</v>
      </c>
      <c r="O75">
        <f t="shared" si="10"/>
        <v>853.30000000000007</v>
      </c>
      <c r="P75">
        <f t="shared" si="11"/>
        <v>853.30000000000007</v>
      </c>
      <c r="Q75" t="b">
        <f t="shared" si="12"/>
        <v>1</v>
      </c>
      <c r="R75">
        <f t="shared" si="13"/>
        <v>853.30000000000007</v>
      </c>
      <c r="S75" s="14">
        <f>_xlfn.XLOOKUP(B75,Summary!$C$10:$C$15,Summary!$B$10:$B$15)</f>
        <v>0.2</v>
      </c>
      <c r="T75">
        <f>IF(AND(H75="Yes",L75&lt;&gt;"Government"),G75*(_xlfn.XLOOKUP(B75,Summary!$C$10:$C$15,Summary!$B$10:$B$15)),0)</f>
        <v>742</v>
      </c>
    </row>
    <row r="76" spans="1:20" x14ac:dyDescent="0.25">
      <c r="A76">
        <v>34186</v>
      </c>
      <c r="B76" t="s">
        <v>43</v>
      </c>
      <c r="C76" t="s">
        <v>25</v>
      </c>
      <c r="D76" s="11">
        <v>2996</v>
      </c>
      <c r="E76">
        <v>3.42</v>
      </c>
      <c r="F76">
        <v>5</v>
      </c>
      <c r="G76">
        <f t="shared" si="7"/>
        <v>14980</v>
      </c>
      <c r="H76" t="s">
        <v>71</v>
      </c>
      <c r="J76" s="9">
        <v>45174</v>
      </c>
      <c r="K76" t="s">
        <v>41</v>
      </c>
      <c r="L76" t="s">
        <v>24</v>
      </c>
      <c r="M76" t="str">
        <f t="shared" si="8"/>
        <v>Public Sector</v>
      </c>
      <c r="N76" t="str">
        <f t="shared" si="9"/>
        <v>Large Order</v>
      </c>
      <c r="O76">
        <f t="shared" si="10"/>
        <v>3445.4</v>
      </c>
      <c r="P76">
        <f t="shared" si="11"/>
        <v>0</v>
      </c>
      <c r="Q76" t="b">
        <f t="shared" si="12"/>
        <v>0</v>
      </c>
      <c r="R76">
        <f t="shared" si="13"/>
        <v>0</v>
      </c>
      <c r="S76" s="14">
        <f>_xlfn.XLOOKUP(B76,Summary!$C$10:$C$15,Summary!$B$10:$B$15)</f>
        <v>0.21</v>
      </c>
      <c r="T76">
        <f>IF(AND(H76="Yes",L76&lt;&gt;"Government"),G76*(_xlfn.XLOOKUP(B76,Summary!$C$10:$C$15,Summary!$B$10:$B$15)),0)</f>
        <v>0</v>
      </c>
    </row>
    <row r="77" spans="1:20" x14ac:dyDescent="0.25">
      <c r="A77">
        <v>93247</v>
      </c>
      <c r="B77" t="s">
        <v>32</v>
      </c>
      <c r="C77" t="s">
        <v>36</v>
      </c>
      <c r="D77" s="11">
        <v>2294</v>
      </c>
      <c r="E77">
        <v>121</v>
      </c>
      <c r="F77">
        <v>130</v>
      </c>
      <c r="G77">
        <f t="shared" si="7"/>
        <v>298220</v>
      </c>
      <c r="H77" t="s">
        <v>71</v>
      </c>
      <c r="J77" s="9">
        <v>45123</v>
      </c>
      <c r="K77" t="s">
        <v>41</v>
      </c>
      <c r="L77" t="s">
        <v>34</v>
      </c>
      <c r="M77" t="str">
        <f t="shared" si="8"/>
        <v>Private Industry</v>
      </c>
      <c r="N77" t="str">
        <f t="shared" si="9"/>
        <v>Large Order</v>
      </c>
      <c r="O77">
        <f t="shared" si="10"/>
        <v>68590.600000000006</v>
      </c>
      <c r="P77">
        <f t="shared" si="11"/>
        <v>68590.600000000006</v>
      </c>
      <c r="Q77" t="b">
        <f t="shared" si="12"/>
        <v>1</v>
      </c>
      <c r="R77">
        <f t="shared" si="13"/>
        <v>68590.600000000006</v>
      </c>
      <c r="S77" s="14">
        <f>_xlfn.XLOOKUP(B77,Summary!$C$10:$C$15,Summary!$B$10:$B$15)</f>
        <v>0.23</v>
      </c>
      <c r="T77">
        <f>IF(AND(H77="Yes",L77&lt;&gt;"Government"),G77*(_xlfn.XLOOKUP(B77,Summary!$C$10:$C$15,Summary!$B$10:$B$15)),0)</f>
        <v>68590.600000000006</v>
      </c>
    </row>
    <row r="78" spans="1:20" x14ac:dyDescent="0.25">
      <c r="A78">
        <v>49882</v>
      </c>
      <c r="B78" t="s">
        <v>43</v>
      </c>
      <c r="C78" t="s">
        <v>35</v>
      </c>
      <c r="D78" s="11">
        <v>2905</v>
      </c>
      <c r="E78">
        <v>10.24</v>
      </c>
      <c r="F78">
        <v>14</v>
      </c>
      <c r="G78">
        <f t="shared" si="7"/>
        <v>40670</v>
      </c>
      <c r="H78" t="s">
        <v>71</v>
      </c>
      <c r="J78" s="9">
        <v>45438</v>
      </c>
      <c r="K78" t="s">
        <v>39</v>
      </c>
      <c r="L78" t="s">
        <v>34</v>
      </c>
      <c r="M78" t="str">
        <f t="shared" si="8"/>
        <v>Private Industry</v>
      </c>
      <c r="N78" t="str">
        <f t="shared" si="9"/>
        <v>Large Order</v>
      </c>
      <c r="O78">
        <f t="shared" si="10"/>
        <v>9354.1</v>
      </c>
      <c r="P78">
        <f t="shared" si="11"/>
        <v>9354.1</v>
      </c>
      <c r="Q78" t="b">
        <f t="shared" si="12"/>
        <v>1</v>
      </c>
      <c r="R78">
        <f t="shared" si="13"/>
        <v>9354.1</v>
      </c>
      <c r="S78" s="14">
        <f>_xlfn.XLOOKUP(B78,Summary!$C$10:$C$15,Summary!$B$10:$B$15)</f>
        <v>0.21</v>
      </c>
      <c r="T78">
        <f>IF(AND(H78="Yes",L78&lt;&gt;"Government"),G78*(_xlfn.XLOOKUP(B78,Summary!$C$10:$C$15,Summary!$B$10:$B$15)),0)</f>
        <v>8540.6999999999989</v>
      </c>
    </row>
    <row r="79" spans="1:20" x14ac:dyDescent="0.25">
      <c r="A79">
        <v>35823</v>
      </c>
      <c r="B79" t="s">
        <v>27</v>
      </c>
      <c r="C79" t="s">
        <v>25</v>
      </c>
      <c r="D79" s="11">
        <v>792</v>
      </c>
      <c r="E79">
        <v>3.29</v>
      </c>
      <c r="F79">
        <v>5</v>
      </c>
      <c r="G79">
        <f t="shared" si="7"/>
        <v>3960</v>
      </c>
      <c r="H79" t="s">
        <v>71</v>
      </c>
      <c r="J79" s="9">
        <v>45264</v>
      </c>
      <c r="K79" t="s">
        <v>41</v>
      </c>
      <c r="L79" t="s">
        <v>24</v>
      </c>
      <c r="M79" t="str">
        <f t="shared" si="8"/>
        <v>Public Sector</v>
      </c>
      <c r="N79" t="str">
        <f t="shared" si="9"/>
        <v>Small Order</v>
      </c>
      <c r="O79">
        <f t="shared" si="10"/>
        <v>910.80000000000007</v>
      </c>
      <c r="P79">
        <f t="shared" si="11"/>
        <v>0</v>
      </c>
      <c r="Q79" t="b">
        <f t="shared" si="12"/>
        <v>0</v>
      </c>
      <c r="R79">
        <f t="shared" si="13"/>
        <v>0</v>
      </c>
      <c r="S79" s="14">
        <f>_xlfn.XLOOKUP(B79,Summary!$C$10:$C$15,Summary!$B$10:$B$15)</f>
        <v>0.19</v>
      </c>
      <c r="T79">
        <f>IF(AND(H79="Yes",L79&lt;&gt;"Government"),G79*(_xlfn.XLOOKUP(B79,Summary!$C$10:$C$15,Summary!$B$10:$B$15)),0)</f>
        <v>0</v>
      </c>
    </row>
    <row r="80" spans="1:20" x14ac:dyDescent="0.25">
      <c r="A80">
        <v>64056</v>
      </c>
      <c r="B80" t="s">
        <v>27</v>
      </c>
      <c r="C80" t="s">
        <v>35</v>
      </c>
      <c r="D80" s="11">
        <v>809</v>
      </c>
      <c r="E80">
        <v>10.97</v>
      </c>
      <c r="F80">
        <v>13</v>
      </c>
      <c r="G80">
        <f t="shared" si="7"/>
        <v>10517</v>
      </c>
      <c r="H80" t="s">
        <v>71</v>
      </c>
      <c r="J80" s="9">
        <v>45284</v>
      </c>
      <c r="K80" t="s">
        <v>39</v>
      </c>
      <c r="L80" t="s">
        <v>33</v>
      </c>
      <c r="M80" t="str">
        <f t="shared" si="8"/>
        <v>Private Industry</v>
      </c>
      <c r="N80" t="str">
        <f t="shared" si="9"/>
        <v>Small Order</v>
      </c>
      <c r="O80">
        <f t="shared" si="10"/>
        <v>2418.9100000000003</v>
      </c>
      <c r="P80">
        <f t="shared" si="11"/>
        <v>2418.9100000000003</v>
      </c>
      <c r="Q80" t="b">
        <f t="shared" si="12"/>
        <v>1</v>
      </c>
      <c r="R80">
        <f t="shared" si="13"/>
        <v>2418.9100000000003</v>
      </c>
      <c r="S80" s="14">
        <f>_xlfn.XLOOKUP(B80,Summary!$C$10:$C$15,Summary!$B$10:$B$15)</f>
        <v>0.19</v>
      </c>
      <c r="T80">
        <f>IF(AND(H80="Yes",L80&lt;&gt;"Government"),G80*(_xlfn.XLOOKUP(B80,Summary!$C$10:$C$15,Summary!$B$10:$B$15)),0)</f>
        <v>1998.23</v>
      </c>
    </row>
    <row r="81" spans="1:20" x14ac:dyDescent="0.25">
      <c r="A81">
        <v>39945</v>
      </c>
      <c r="B81" t="s">
        <v>29</v>
      </c>
      <c r="C81" t="s">
        <v>37</v>
      </c>
      <c r="D81" s="11">
        <v>3874</v>
      </c>
      <c r="E81">
        <v>250.22</v>
      </c>
      <c r="F81">
        <v>366</v>
      </c>
      <c r="G81">
        <f t="shared" si="7"/>
        <v>1417884</v>
      </c>
      <c r="H81" t="s">
        <v>71</v>
      </c>
      <c r="J81" s="9">
        <v>45326</v>
      </c>
      <c r="K81" t="s">
        <v>41</v>
      </c>
      <c r="L81" t="s">
        <v>28</v>
      </c>
      <c r="M81" t="str">
        <f t="shared" si="8"/>
        <v>Private Industry</v>
      </c>
      <c r="N81" t="str">
        <f t="shared" si="9"/>
        <v>Large Order</v>
      </c>
      <c r="O81">
        <f t="shared" si="10"/>
        <v>326113.32</v>
      </c>
      <c r="P81">
        <f t="shared" si="11"/>
        <v>326113.32</v>
      </c>
      <c r="Q81" t="b">
        <f t="shared" si="12"/>
        <v>1</v>
      </c>
      <c r="R81">
        <f t="shared" si="13"/>
        <v>326113.32</v>
      </c>
      <c r="S81" s="14">
        <f>_xlfn.XLOOKUP(B81,Summary!$C$10:$C$15,Summary!$B$10:$B$15)</f>
        <v>0.22</v>
      </c>
      <c r="T81">
        <f>IF(AND(H81="Yes",L81&lt;&gt;"Government"),G81*(_xlfn.XLOOKUP(B81,Summary!$C$10:$C$15,Summary!$B$10:$B$15)),0)</f>
        <v>311934.48</v>
      </c>
    </row>
    <row r="82" spans="1:20" x14ac:dyDescent="0.25">
      <c r="A82">
        <v>22140</v>
      </c>
      <c r="B82" t="s">
        <v>43</v>
      </c>
      <c r="C82" t="s">
        <v>36</v>
      </c>
      <c r="D82" s="11">
        <v>588</v>
      </c>
      <c r="E82">
        <v>120.57</v>
      </c>
      <c r="F82">
        <v>150</v>
      </c>
      <c r="G82">
        <f t="shared" si="7"/>
        <v>88200</v>
      </c>
      <c r="H82" t="s">
        <v>71</v>
      </c>
      <c r="J82" s="9">
        <v>45538</v>
      </c>
      <c r="K82" t="s">
        <v>40</v>
      </c>
      <c r="L82" t="s">
        <v>24</v>
      </c>
      <c r="M82" t="str">
        <f t="shared" si="8"/>
        <v>Public Sector</v>
      </c>
      <c r="N82" t="str">
        <f t="shared" si="9"/>
        <v>Small Order</v>
      </c>
      <c r="O82">
        <f t="shared" si="10"/>
        <v>20286</v>
      </c>
      <c r="P82">
        <f t="shared" si="11"/>
        <v>0</v>
      </c>
      <c r="Q82" t="b">
        <f t="shared" si="12"/>
        <v>0</v>
      </c>
      <c r="R82">
        <f t="shared" si="13"/>
        <v>0</v>
      </c>
      <c r="S82" s="14">
        <f>_xlfn.XLOOKUP(B82,Summary!$C$10:$C$15,Summary!$B$10:$B$15)</f>
        <v>0.21</v>
      </c>
      <c r="T82">
        <f>IF(AND(H82="Yes",L82&lt;&gt;"Government"),G82*(_xlfn.XLOOKUP(B82,Summary!$C$10:$C$15,Summary!$B$10:$B$15)),0)</f>
        <v>0</v>
      </c>
    </row>
    <row r="83" spans="1:20" x14ac:dyDescent="0.25">
      <c r="A83">
        <v>92668</v>
      </c>
      <c r="B83" t="s">
        <v>43</v>
      </c>
      <c r="C83" t="s">
        <v>37</v>
      </c>
      <c r="D83" s="11">
        <v>1579</v>
      </c>
      <c r="E83">
        <v>250.54</v>
      </c>
      <c r="F83">
        <v>284</v>
      </c>
      <c r="G83">
        <f t="shared" si="7"/>
        <v>448436</v>
      </c>
      <c r="H83" t="s">
        <v>72</v>
      </c>
      <c r="J83" s="9">
        <v>45770</v>
      </c>
      <c r="K83" t="s">
        <v>41</v>
      </c>
      <c r="L83" t="s">
        <v>24</v>
      </c>
      <c r="M83" t="str">
        <f t="shared" si="8"/>
        <v>Public Sector</v>
      </c>
      <c r="N83" t="str">
        <f t="shared" si="9"/>
        <v>Large Order</v>
      </c>
      <c r="O83">
        <f t="shared" si="10"/>
        <v>0</v>
      </c>
      <c r="P83">
        <f t="shared" si="11"/>
        <v>0</v>
      </c>
      <c r="Q83" t="b">
        <f t="shared" si="12"/>
        <v>0</v>
      </c>
      <c r="R83">
        <f t="shared" si="13"/>
        <v>0</v>
      </c>
      <c r="S83" s="14">
        <f>_xlfn.XLOOKUP(B83,Summary!$C$10:$C$15,Summary!$B$10:$B$15)</f>
        <v>0.21</v>
      </c>
      <c r="T83">
        <f>IF(AND(H83="Yes",L83&lt;&gt;"Government"),G83*(_xlfn.XLOOKUP(B83,Summary!$C$10:$C$15,Summary!$B$10:$B$15)),0)</f>
        <v>0</v>
      </c>
    </row>
    <row r="84" spans="1:20" x14ac:dyDescent="0.25">
      <c r="A84">
        <v>40479</v>
      </c>
      <c r="B84" t="s">
        <v>42</v>
      </c>
      <c r="C84" t="s">
        <v>36</v>
      </c>
      <c r="D84" s="11">
        <v>1493</v>
      </c>
      <c r="E84">
        <v>120.19</v>
      </c>
      <c r="F84">
        <v>144</v>
      </c>
      <c r="G84">
        <f t="shared" si="7"/>
        <v>214992</v>
      </c>
      <c r="H84" t="s">
        <v>71</v>
      </c>
      <c r="J84" s="9">
        <v>45240</v>
      </c>
      <c r="K84" t="s">
        <v>26</v>
      </c>
      <c r="L84" t="s">
        <v>24</v>
      </c>
      <c r="M84" t="str">
        <f t="shared" si="8"/>
        <v>Public Sector</v>
      </c>
      <c r="N84" t="str">
        <f t="shared" si="9"/>
        <v>Small Order</v>
      </c>
      <c r="O84">
        <f t="shared" si="10"/>
        <v>49448.160000000003</v>
      </c>
      <c r="P84">
        <f t="shared" si="11"/>
        <v>0</v>
      </c>
      <c r="Q84" t="b">
        <f t="shared" si="12"/>
        <v>0</v>
      </c>
      <c r="R84">
        <f t="shared" si="13"/>
        <v>0</v>
      </c>
      <c r="S84" s="14">
        <f>_xlfn.XLOOKUP(B84,Summary!$C$10:$C$15,Summary!$B$10:$B$15)</f>
        <v>0.24</v>
      </c>
      <c r="T84">
        <f>IF(AND(H84="Yes",L84&lt;&gt;"Government"),G84*(_xlfn.XLOOKUP(B84,Summary!$C$10:$C$15,Summary!$B$10:$B$15)),0)</f>
        <v>0</v>
      </c>
    </row>
    <row r="85" spans="1:20" x14ac:dyDescent="0.25">
      <c r="A85">
        <v>88497</v>
      </c>
      <c r="B85" t="s">
        <v>43</v>
      </c>
      <c r="C85" t="s">
        <v>30</v>
      </c>
      <c r="D85" s="11">
        <v>615</v>
      </c>
      <c r="E85">
        <v>5.6</v>
      </c>
      <c r="F85">
        <v>8</v>
      </c>
      <c r="G85">
        <f t="shared" si="7"/>
        <v>4920</v>
      </c>
      <c r="H85" t="s">
        <v>71</v>
      </c>
      <c r="J85" s="9">
        <v>45588</v>
      </c>
      <c r="K85" t="s">
        <v>26</v>
      </c>
      <c r="L85" t="s">
        <v>28</v>
      </c>
      <c r="M85" t="str">
        <f t="shared" si="8"/>
        <v>Private Industry</v>
      </c>
      <c r="N85" t="str">
        <f t="shared" si="9"/>
        <v>Small Order</v>
      </c>
      <c r="O85">
        <f t="shared" si="10"/>
        <v>1131.6000000000001</v>
      </c>
      <c r="P85">
        <f t="shared" si="11"/>
        <v>1131.6000000000001</v>
      </c>
      <c r="Q85" t="b">
        <f t="shared" si="12"/>
        <v>1</v>
      </c>
      <c r="R85">
        <f t="shared" si="13"/>
        <v>1131.6000000000001</v>
      </c>
      <c r="S85" s="14">
        <f>_xlfn.XLOOKUP(B85,Summary!$C$10:$C$15,Summary!$B$10:$B$15)</f>
        <v>0.21</v>
      </c>
      <c r="T85">
        <f>IF(AND(H85="Yes",L85&lt;&gt;"Government"),G85*(_xlfn.XLOOKUP(B85,Summary!$C$10:$C$15,Summary!$B$10:$B$15)),0)</f>
        <v>1033.2</v>
      </c>
    </row>
    <row r="86" spans="1:20" x14ac:dyDescent="0.25">
      <c r="A86">
        <v>73311</v>
      </c>
      <c r="B86" t="s">
        <v>44</v>
      </c>
      <c r="C86" t="s">
        <v>38</v>
      </c>
      <c r="D86" s="11">
        <v>1393</v>
      </c>
      <c r="E86">
        <v>260.33</v>
      </c>
      <c r="F86">
        <v>282</v>
      </c>
      <c r="G86">
        <f t="shared" si="7"/>
        <v>392826</v>
      </c>
      <c r="H86" t="s">
        <v>72</v>
      </c>
      <c r="J86" s="9">
        <v>45654</v>
      </c>
      <c r="K86" t="s">
        <v>41</v>
      </c>
      <c r="L86" t="s">
        <v>31</v>
      </c>
      <c r="M86" t="str">
        <f t="shared" si="8"/>
        <v>Private Industry</v>
      </c>
      <c r="N86" t="str">
        <f t="shared" si="9"/>
        <v>Small Order</v>
      </c>
      <c r="O86">
        <f t="shared" si="10"/>
        <v>0</v>
      </c>
      <c r="P86">
        <f t="shared" si="11"/>
        <v>0</v>
      </c>
      <c r="Q86" t="b">
        <f t="shared" si="12"/>
        <v>0</v>
      </c>
      <c r="R86">
        <f t="shared" si="13"/>
        <v>0</v>
      </c>
      <c r="S86" s="14">
        <f>_xlfn.XLOOKUP(B86,Summary!$C$10:$C$15,Summary!$B$10:$B$15)</f>
        <v>0.2</v>
      </c>
      <c r="T86">
        <f>IF(AND(H86="Yes",L86&lt;&gt;"Government"),G86*(_xlfn.XLOOKUP(B86,Summary!$C$10:$C$15,Summary!$B$10:$B$15)),0)</f>
        <v>0</v>
      </c>
    </row>
    <row r="87" spans="1:20" x14ac:dyDescent="0.25">
      <c r="A87">
        <v>90806</v>
      </c>
      <c r="B87" t="s">
        <v>29</v>
      </c>
      <c r="C87" t="s">
        <v>25</v>
      </c>
      <c r="D87" s="11">
        <v>2181</v>
      </c>
      <c r="E87">
        <v>3.3</v>
      </c>
      <c r="F87">
        <v>5</v>
      </c>
      <c r="G87">
        <f t="shared" si="7"/>
        <v>10905</v>
      </c>
      <c r="H87" t="s">
        <v>71</v>
      </c>
      <c r="J87" s="9">
        <v>45493</v>
      </c>
      <c r="K87" t="s">
        <v>40</v>
      </c>
      <c r="L87" t="s">
        <v>34</v>
      </c>
      <c r="M87" t="str">
        <f t="shared" si="8"/>
        <v>Private Industry</v>
      </c>
      <c r="N87" t="str">
        <f t="shared" si="9"/>
        <v>Large Order</v>
      </c>
      <c r="O87">
        <f t="shared" si="10"/>
        <v>2508.15</v>
      </c>
      <c r="P87">
        <f t="shared" si="11"/>
        <v>2508.15</v>
      </c>
      <c r="Q87" t="b">
        <f t="shared" si="12"/>
        <v>1</v>
      </c>
      <c r="R87">
        <f t="shared" si="13"/>
        <v>2508.15</v>
      </c>
      <c r="S87" s="14">
        <f>_xlfn.XLOOKUP(B87,Summary!$C$10:$C$15,Summary!$B$10:$B$15)</f>
        <v>0.22</v>
      </c>
      <c r="T87">
        <f>IF(AND(H87="Yes",L87&lt;&gt;"Government"),G87*(_xlfn.XLOOKUP(B87,Summary!$C$10:$C$15,Summary!$B$10:$B$15)),0)</f>
        <v>2399.1</v>
      </c>
    </row>
    <row r="88" spans="1:20" x14ac:dyDescent="0.25">
      <c r="A88">
        <v>66224</v>
      </c>
      <c r="B88" t="s">
        <v>32</v>
      </c>
      <c r="C88" t="s">
        <v>36</v>
      </c>
      <c r="D88" s="11">
        <v>1566</v>
      </c>
      <c r="E88">
        <v>120.03</v>
      </c>
      <c r="F88">
        <v>169</v>
      </c>
      <c r="G88">
        <f t="shared" si="7"/>
        <v>264654</v>
      </c>
      <c r="H88" t="s">
        <v>72</v>
      </c>
      <c r="J88" s="9">
        <v>45435</v>
      </c>
      <c r="K88" t="s">
        <v>39</v>
      </c>
      <c r="L88" t="s">
        <v>24</v>
      </c>
      <c r="M88" t="str">
        <f t="shared" si="8"/>
        <v>Public Sector</v>
      </c>
      <c r="N88" t="str">
        <f t="shared" si="9"/>
        <v>Large Order</v>
      </c>
      <c r="O88">
        <f t="shared" si="10"/>
        <v>0</v>
      </c>
      <c r="P88">
        <f t="shared" si="11"/>
        <v>0</v>
      </c>
      <c r="Q88" t="b">
        <f t="shared" si="12"/>
        <v>0</v>
      </c>
      <c r="R88">
        <f t="shared" si="13"/>
        <v>0</v>
      </c>
      <c r="S88" s="14">
        <f>_xlfn.XLOOKUP(B88,Summary!$C$10:$C$15,Summary!$B$10:$B$15)</f>
        <v>0.23</v>
      </c>
      <c r="T88">
        <f>IF(AND(H88="Yes",L88&lt;&gt;"Government"),G88*(_xlfn.XLOOKUP(B88,Summary!$C$10:$C$15,Summary!$B$10:$B$15)),0)</f>
        <v>0</v>
      </c>
    </row>
    <row r="89" spans="1:20" x14ac:dyDescent="0.25">
      <c r="A89">
        <v>26521</v>
      </c>
      <c r="B89" t="s">
        <v>32</v>
      </c>
      <c r="C89" t="s">
        <v>25</v>
      </c>
      <c r="D89" s="11">
        <v>991</v>
      </c>
      <c r="E89">
        <v>3.46</v>
      </c>
      <c r="F89">
        <v>4</v>
      </c>
      <c r="G89">
        <f t="shared" si="7"/>
        <v>3964</v>
      </c>
      <c r="H89" t="s">
        <v>72</v>
      </c>
      <c r="J89" s="9">
        <v>45780</v>
      </c>
      <c r="K89" t="s">
        <v>40</v>
      </c>
      <c r="L89" t="s">
        <v>34</v>
      </c>
      <c r="M89" t="str">
        <f t="shared" si="8"/>
        <v>Private Industry</v>
      </c>
      <c r="N89" t="str">
        <f t="shared" si="9"/>
        <v>Small Order</v>
      </c>
      <c r="O89">
        <f t="shared" si="10"/>
        <v>0</v>
      </c>
      <c r="P89">
        <f t="shared" si="11"/>
        <v>0</v>
      </c>
      <c r="Q89" t="b">
        <f t="shared" si="12"/>
        <v>0</v>
      </c>
      <c r="R89">
        <f t="shared" si="13"/>
        <v>0</v>
      </c>
      <c r="S89" s="14">
        <f>_xlfn.XLOOKUP(B89,Summary!$C$10:$C$15,Summary!$B$10:$B$15)</f>
        <v>0.23</v>
      </c>
      <c r="T89">
        <f>IF(AND(H89="Yes",L89&lt;&gt;"Government"),G89*(_xlfn.XLOOKUP(B89,Summary!$C$10:$C$15,Summary!$B$10:$B$15)),0)</f>
        <v>0</v>
      </c>
    </row>
    <row r="90" spans="1:20" x14ac:dyDescent="0.25">
      <c r="A90">
        <v>56832</v>
      </c>
      <c r="B90" t="s">
        <v>42</v>
      </c>
      <c r="C90" t="s">
        <v>38</v>
      </c>
      <c r="D90" s="11">
        <v>947</v>
      </c>
      <c r="E90">
        <v>260.24</v>
      </c>
      <c r="F90">
        <v>349</v>
      </c>
      <c r="G90">
        <f t="shared" si="7"/>
        <v>330503</v>
      </c>
      <c r="H90" t="s">
        <v>72</v>
      </c>
      <c r="J90" s="9">
        <v>45206</v>
      </c>
      <c r="K90" t="s">
        <v>41</v>
      </c>
      <c r="L90" t="s">
        <v>33</v>
      </c>
      <c r="M90" t="str">
        <f t="shared" si="8"/>
        <v>Private Industry</v>
      </c>
      <c r="N90" t="str">
        <f t="shared" si="9"/>
        <v>Small Order</v>
      </c>
      <c r="O90">
        <f t="shared" si="10"/>
        <v>0</v>
      </c>
      <c r="P90">
        <f t="shared" si="11"/>
        <v>0</v>
      </c>
      <c r="Q90" t="b">
        <f t="shared" si="12"/>
        <v>0</v>
      </c>
      <c r="R90">
        <f t="shared" si="13"/>
        <v>0</v>
      </c>
      <c r="S90" s="14">
        <f>_xlfn.XLOOKUP(B90,Summary!$C$10:$C$15,Summary!$B$10:$B$15)</f>
        <v>0.24</v>
      </c>
      <c r="T90">
        <f>IF(AND(H90="Yes",L90&lt;&gt;"Government"),G90*(_xlfn.XLOOKUP(B90,Summary!$C$10:$C$15,Summary!$B$10:$B$15)),0)</f>
        <v>0</v>
      </c>
    </row>
    <row r="91" spans="1:20" x14ac:dyDescent="0.25">
      <c r="A91">
        <v>15418</v>
      </c>
      <c r="B91" t="s">
        <v>29</v>
      </c>
      <c r="C91" t="s">
        <v>25</v>
      </c>
      <c r="D91" s="11">
        <v>490</v>
      </c>
      <c r="E91">
        <v>3.75</v>
      </c>
      <c r="F91">
        <v>6</v>
      </c>
      <c r="G91">
        <f t="shared" si="7"/>
        <v>2940</v>
      </c>
      <c r="H91" t="s">
        <v>72</v>
      </c>
      <c r="J91" s="9">
        <v>45601</v>
      </c>
      <c r="K91" t="s">
        <v>40</v>
      </c>
      <c r="L91" t="s">
        <v>28</v>
      </c>
      <c r="M91" t="str">
        <f t="shared" si="8"/>
        <v>Private Industry</v>
      </c>
      <c r="N91" t="str">
        <f t="shared" si="9"/>
        <v>Small Order</v>
      </c>
      <c r="O91">
        <f t="shared" si="10"/>
        <v>0</v>
      </c>
      <c r="P91">
        <f t="shared" si="11"/>
        <v>0</v>
      </c>
      <c r="Q91" t="b">
        <f t="shared" si="12"/>
        <v>0</v>
      </c>
      <c r="R91">
        <f t="shared" si="13"/>
        <v>0</v>
      </c>
      <c r="S91" s="14">
        <f>_xlfn.XLOOKUP(B91,Summary!$C$10:$C$15,Summary!$B$10:$B$15)</f>
        <v>0.22</v>
      </c>
      <c r="T91">
        <f>IF(AND(H91="Yes",L91&lt;&gt;"Government"),G91*(_xlfn.XLOOKUP(B91,Summary!$C$10:$C$15,Summary!$B$10:$B$15)),0)</f>
        <v>0</v>
      </c>
    </row>
    <row r="92" spans="1:20" x14ac:dyDescent="0.25">
      <c r="A92">
        <v>21257</v>
      </c>
      <c r="B92" t="s">
        <v>44</v>
      </c>
      <c r="C92" t="s">
        <v>38</v>
      </c>
      <c r="D92" s="11">
        <v>2734</v>
      </c>
      <c r="E92">
        <v>260.61</v>
      </c>
      <c r="F92">
        <v>279</v>
      </c>
      <c r="G92">
        <f t="shared" si="7"/>
        <v>762786</v>
      </c>
      <c r="H92" t="s">
        <v>72</v>
      </c>
      <c r="J92" s="9">
        <v>45216</v>
      </c>
      <c r="K92" t="s">
        <v>41</v>
      </c>
      <c r="L92" t="s">
        <v>24</v>
      </c>
      <c r="M92" t="str">
        <f t="shared" si="8"/>
        <v>Public Sector</v>
      </c>
      <c r="N92" t="str">
        <f t="shared" si="9"/>
        <v>Large Order</v>
      </c>
      <c r="O92">
        <f t="shared" si="10"/>
        <v>0</v>
      </c>
      <c r="P92">
        <f t="shared" si="11"/>
        <v>0</v>
      </c>
      <c r="Q92" t="b">
        <f t="shared" si="12"/>
        <v>0</v>
      </c>
      <c r="R92">
        <f t="shared" si="13"/>
        <v>0</v>
      </c>
      <c r="S92" s="14">
        <f>_xlfn.XLOOKUP(B92,Summary!$C$10:$C$15,Summary!$B$10:$B$15)</f>
        <v>0.2</v>
      </c>
      <c r="T92">
        <f>IF(AND(H92="Yes",L92&lt;&gt;"Government"),G92*(_xlfn.XLOOKUP(B92,Summary!$C$10:$C$15,Summary!$B$10:$B$15)),0)</f>
        <v>0</v>
      </c>
    </row>
    <row r="93" spans="1:20" x14ac:dyDescent="0.25">
      <c r="A93">
        <v>14619</v>
      </c>
      <c r="B93" t="s">
        <v>43</v>
      </c>
      <c r="C93" t="s">
        <v>25</v>
      </c>
      <c r="D93" s="11">
        <v>2030</v>
      </c>
      <c r="E93">
        <v>3.43</v>
      </c>
      <c r="F93">
        <v>5</v>
      </c>
      <c r="G93">
        <f t="shared" si="7"/>
        <v>10150</v>
      </c>
      <c r="H93" t="s">
        <v>72</v>
      </c>
      <c r="J93" s="9">
        <v>45355</v>
      </c>
      <c r="K93" t="s">
        <v>40</v>
      </c>
      <c r="L93" t="s">
        <v>28</v>
      </c>
      <c r="M93" t="str">
        <f t="shared" si="8"/>
        <v>Private Industry</v>
      </c>
      <c r="N93" t="str">
        <f t="shared" si="9"/>
        <v>Large Order</v>
      </c>
      <c r="O93">
        <f t="shared" si="10"/>
        <v>0</v>
      </c>
      <c r="P93">
        <f t="shared" si="11"/>
        <v>0</v>
      </c>
      <c r="Q93" t="b">
        <f t="shared" si="12"/>
        <v>0</v>
      </c>
      <c r="R93">
        <f t="shared" si="13"/>
        <v>0</v>
      </c>
      <c r="S93" s="14">
        <f>_xlfn.XLOOKUP(B93,Summary!$C$10:$C$15,Summary!$B$10:$B$15)</f>
        <v>0.21</v>
      </c>
      <c r="T93">
        <f>IF(AND(H93="Yes",L93&lt;&gt;"Government"),G93*(_xlfn.XLOOKUP(B93,Summary!$C$10:$C$15,Summary!$B$10:$B$15)),0)</f>
        <v>0</v>
      </c>
    </row>
    <row r="94" spans="1:20" x14ac:dyDescent="0.25">
      <c r="A94">
        <v>94315</v>
      </c>
      <c r="B94" t="s">
        <v>42</v>
      </c>
      <c r="C94" t="s">
        <v>37</v>
      </c>
      <c r="D94" s="11">
        <v>1916</v>
      </c>
      <c r="E94">
        <v>250.26</v>
      </c>
      <c r="F94">
        <v>286</v>
      </c>
      <c r="G94">
        <f t="shared" si="7"/>
        <v>547976</v>
      </c>
      <c r="H94" t="s">
        <v>72</v>
      </c>
      <c r="J94" s="9">
        <v>45424</v>
      </c>
      <c r="K94" t="s">
        <v>39</v>
      </c>
      <c r="L94" t="s">
        <v>31</v>
      </c>
      <c r="M94" t="str">
        <f t="shared" si="8"/>
        <v>Private Industry</v>
      </c>
      <c r="N94" t="str">
        <f t="shared" si="9"/>
        <v>Large Order</v>
      </c>
      <c r="O94">
        <f t="shared" si="10"/>
        <v>0</v>
      </c>
      <c r="P94">
        <f t="shared" si="11"/>
        <v>0</v>
      </c>
      <c r="Q94" t="b">
        <f t="shared" si="12"/>
        <v>0</v>
      </c>
      <c r="R94">
        <f t="shared" si="13"/>
        <v>0</v>
      </c>
      <c r="S94" s="14">
        <f>_xlfn.XLOOKUP(B94,Summary!$C$10:$C$15,Summary!$B$10:$B$15)</f>
        <v>0.24</v>
      </c>
      <c r="T94">
        <f>IF(AND(H94="Yes",L94&lt;&gt;"Government"),G94*(_xlfn.XLOOKUP(B94,Summary!$C$10:$C$15,Summary!$B$10:$B$15)),0)</f>
        <v>0</v>
      </c>
    </row>
    <row r="95" spans="1:20" x14ac:dyDescent="0.25">
      <c r="A95">
        <v>50547</v>
      </c>
      <c r="B95" t="s">
        <v>43</v>
      </c>
      <c r="C95" t="s">
        <v>37</v>
      </c>
      <c r="D95" s="11">
        <v>349</v>
      </c>
      <c r="E95">
        <v>250.26</v>
      </c>
      <c r="F95">
        <v>266</v>
      </c>
      <c r="G95">
        <f t="shared" si="7"/>
        <v>92834</v>
      </c>
      <c r="H95" t="s">
        <v>71</v>
      </c>
      <c r="J95" s="9">
        <v>45211</v>
      </c>
      <c r="K95" t="s">
        <v>39</v>
      </c>
      <c r="L95" t="s">
        <v>24</v>
      </c>
      <c r="M95" t="str">
        <f t="shared" si="8"/>
        <v>Public Sector</v>
      </c>
      <c r="N95" t="str">
        <f t="shared" si="9"/>
        <v>Small Order</v>
      </c>
      <c r="O95">
        <f t="shared" si="10"/>
        <v>21351.82</v>
      </c>
      <c r="P95">
        <f t="shared" si="11"/>
        <v>0</v>
      </c>
      <c r="Q95" t="b">
        <f t="shared" si="12"/>
        <v>0</v>
      </c>
      <c r="R95">
        <f t="shared" si="13"/>
        <v>0</v>
      </c>
      <c r="S95" s="14">
        <f>_xlfn.XLOOKUP(B95,Summary!$C$10:$C$15,Summary!$B$10:$B$15)</f>
        <v>0.21</v>
      </c>
      <c r="T95">
        <f>IF(AND(H95="Yes",L95&lt;&gt;"Government"),G95*(_xlfn.XLOOKUP(B95,Summary!$C$10:$C$15,Summary!$B$10:$B$15)),0)</f>
        <v>0</v>
      </c>
    </row>
    <row r="96" spans="1:20" x14ac:dyDescent="0.25">
      <c r="A96">
        <v>56714</v>
      </c>
      <c r="B96" t="s">
        <v>44</v>
      </c>
      <c r="C96" t="s">
        <v>37</v>
      </c>
      <c r="D96" s="11">
        <v>943</v>
      </c>
      <c r="E96">
        <v>250.61</v>
      </c>
      <c r="F96">
        <v>261</v>
      </c>
      <c r="G96">
        <f t="shared" si="7"/>
        <v>246123</v>
      </c>
      <c r="H96" t="s">
        <v>71</v>
      </c>
      <c r="J96" s="9">
        <v>45569</v>
      </c>
      <c r="K96" t="s">
        <v>39</v>
      </c>
      <c r="L96" t="s">
        <v>24</v>
      </c>
      <c r="M96" t="str">
        <f t="shared" si="8"/>
        <v>Public Sector</v>
      </c>
      <c r="N96" t="str">
        <f t="shared" si="9"/>
        <v>Small Order</v>
      </c>
      <c r="O96">
        <f t="shared" si="10"/>
        <v>56608.29</v>
      </c>
      <c r="P96">
        <f t="shared" si="11"/>
        <v>0</v>
      </c>
      <c r="Q96" t="b">
        <f t="shared" si="12"/>
        <v>0</v>
      </c>
      <c r="R96">
        <f t="shared" si="13"/>
        <v>0</v>
      </c>
      <c r="S96" s="14">
        <f>_xlfn.XLOOKUP(B96,Summary!$C$10:$C$15,Summary!$B$10:$B$15)</f>
        <v>0.2</v>
      </c>
      <c r="T96">
        <f>IF(AND(H96="Yes",L96&lt;&gt;"Government"),G96*(_xlfn.XLOOKUP(B96,Summary!$C$10:$C$15,Summary!$B$10:$B$15)),0)</f>
        <v>0</v>
      </c>
    </row>
    <row r="97" spans="1:20" x14ac:dyDescent="0.25">
      <c r="A97">
        <v>37971</v>
      </c>
      <c r="B97" t="s">
        <v>27</v>
      </c>
      <c r="C97" t="s">
        <v>37</v>
      </c>
      <c r="D97" s="11">
        <v>2338</v>
      </c>
      <c r="E97">
        <v>250.47</v>
      </c>
      <c r="F97">
        <v>276</v>
      </c>
      <c r="G97">
        <f t="shared" si="7"/>
        <v>645288</v>
      </c>
      <c r="H97" t="s">
        <v>72</v>
      </c>
      <c r="J97" s="9">
        <v>45275</v>
      </c>
      <c r="K97" t="s">
        <v>40</v>
      </c>
      <c r="L97" t="s">
        <v>24</v>
      </c>
      <c r="M97" t="str">
        <f t="shared" si="8"/>
        <v>Public Sector</v>
      </c>
      <c r="N97" t="str">
        <f t="shared" si="9"/>
        <v>Large Order</v>
      </c>
      <c r="O97">
        <f t="shared" si="10"/>
        <v>0</v>
      </c>
      <c r="P97">
        <f t="shared" si="11"/>
        <v>0</v>
      </c>
      <c r="Q97" t="b">
        <f t="shared" si="12"/>
        <v>0</v>
      </c>
      <c r="R97">
        <f t="shared" si="13"/>
        <v>0</v>
      </c>
      <c r="S97" s="14">
        <f>_xlfn.XLOOKUP(B97,Summary!$C$10:$C$15,Summary!$B$10:$B$15)</f>
        <v>0.19</v>
      </c>
      <c r="T97">
        <f>IF(AND(H97="Yes",L97&lt;&gt;"Government"),G97*(_xlfn.XLOOKUP(B97,Summary!$C$10:$C$15,Summary!$B$10:$B$15)),0)</f>
        <v>0</v>
      </c>
    </row>
    <row r="98" spans="1:20" x14ac:dyDescent="0.25">
      <c r="A98">
        <v>57635</v>
      </c>
      <c r="B98" t="s">
        <v>42</v>
      </c>
      <c r="C98" t="s">
        <v>38</v>
      </c>
      <c r="D98" s="11">
        <v>2460</v>
      </c>
      <c r="E98">
        <v>260.39999999999998</v>
      </c>
      <c r="F98">
        <v>323</v>
      </c>
      <c r="G98">
        <f t="shared" si="7"/>
        <v>794580</v>
      </c>
      <c r="H98" t="s">
        <v>71</v>
      </c>
      <c r="J98" s="9">
        <v>45394</v>
      </c>
      <c r="K98" t="s">
        <v>40</v>
      </c>
      <c r="L98" t="s">
        <v>34</v>
      </c>
      <c r="M98" t="str">
        <f t="shared" si="8"/>
        <v>Private Industry</v>
      </c>
      <c r="N98" t="str">
        <f t="shared" si="9"/>
        <v>Large Order</v>
      </c>
      <c r="O98">
        <f t="shared" si="10"/>
        <v>182753.4</v>
      </c>
      <c r="P98">
        <f t="shared" si="11"/>
        <v>182753.4</v>
      </c>
      <c r="Q98" t="b">
        <f t="shared" si="12"/>
        <v>1</v>
      </c>
      <c r="R98">
        <f t="shared" si="13"/>
        <v>182753.4</v>
      </c>
      <c r="S98" s="14">
        <f>_xlfn.XLOOKUP(B98,Summary!$C$10:$C$15,Summary!$B$10:$B$15)</f>
        <v>0.24</v>
      </c>
      <c r="T98">
        <f>IF(AND(H98="Yes",L98&lt;&gt;"Government"),G98*(_xlfn.XLOOKUP(B98,Summary!$C$10:$C$15,Summary!$B$10:$B$15)),0)</f>
        <v>190699.19999999998</v>
      </c>
    </row>
    <row r="99" spans="1:20" x14ac:dyDescent="0.25">
      <c r="A99">
        <v>75754</v>
      </c>
      <c r="B99" t="s">
        <v>42</v>
      </c>
      <c r="C99" t="s">
        <v>35</v>
      </c>
      <c r="D99" s="11">
        <v>1038</v>
      </c>
      <c r="E99">
        <v>10.25</v>
      </c>
      <c r="F99">
        <v>11</v>
      </c>
      <c r="G99">
        <f t="shared" si="7"/>
        <v>11418</v>
      </c>
      <c r="H99" t="s">
        <v>72</v>
      </c>
      <c r="J99" s="9">
        <v>45180</v>
      </c>
      <c r="K99" t="s">
        <v>40</v>
      </c>
      <c r="L99" t="s">
        <v>24</v>
      </c>
      <c r="M99" t="str">
        <f t="shared" si="8"/>
        <v>Public Sector</v>
      </c>
      <c r="N99" t="str">
        <f t="shared" si="9"/>
        <v>Small Order</v>
      </c>
      <c r="O99">
        <f t="shared" si="10"/>
        <v>0</v>
      </c>
      <c r="P99">
        <f t="shared" si="11"/>
        <v>0</v>
      </c>
      <c r="Q99" t="b">
        <f t="shared" si="12"/>
        <v>0</v>
      </c>
      <c r="R99">
        <f t="shared" si="13"/>
        <v>0</v>
      </c>
      <c r="S99" s="14">
        <f>_xlfn.XLOOKUP(B99,Summary!$C$10:$C$15,Summary!$B$10:$B$15)</f>
        <v>0.24</v>
      </c>
      <c r="T99">
        <f>IF(AND(H99="Yes",L99&lt;&gt;"Government"),G99*(_xlfn.XLOOKUP(B99,Summary!$C$10:$C$15,Summary!$B$10:$B$15)),0)</f>
        <v>0</v>
      </c>
    </row>
    <row r="100" spans="1:20" x14ac:dyDescent="0.25">
      <c r="A100">
        <v>46711</v>
      </c>
      <c r="B100" t="s">
        <v>42</v>
      </c>
      <c r="C100" t="s">
        <v>30</v>
      </c>
      <c r="D100" s="11">
        <v>2157</v>
      </c>
      <c r="E100">
        <v>5.87</v>
      </c>
      <c r="F100">
        <v>8</v>
      </c>
      <c r="G100">
        <f t="shared" si="7"/>
        <v>17256</v>
      </c>
      <c r="H100" t="s">
        <v>71</v>
      </c>
      <c r="J100" s="9">
        <v>45583</v>
      </c>
      <c r="K100" t="s">
        <v>41</v>
      </c>
      <c r="L100" t="s">
        <v>28</v>
      </c>
      <c r="M100" t="str">
        <f t="shared" si="8"/>
        <v>Private Industry</v>
      </c>
      <c r="N100" t="str">
        <f t="shared" si="9"/>
        <v>Large Order</v>
      </c>
      <c r="O100">
        <f t="shared" si="10"/>
        <v>3968.88</v>
      </c>
      <c r="P100">
        <f t="shared" si="11"/>
        <v>3968.88</v>
      </c>
      <c r="Q100" t="b">
        <f t="shared" si="12"/>
        <v>1</v>
      </c>
      <c r="R100">
        <f t="shared" si="13"/>
        <v>3968.88</v>
      </c>
      <c r="S100" s="14">
        <f>_xlfn.XLOOKUP(B100,Summary!$C$10:$C$15,Summary!$B$10:$B$15)</f>
        <v>0.24</v>
      </c>
      <c r="T100">
        <f>IF(AND(H100="Yes",L100&lt;&gt;"Government"),G100*(_xlfn.XLOOKUP(B100,Summary!$C$10:$C$15,Summary!$B$10:$B$15)),0)</f>
        <v>4141.4399999999996</v>
      </c>
    </row>
    <row r="101" spans="1:20" x14ac:dyDescent="0.25">
      <c r="A101">
        <v>70035</v>
      </c>
      <c r="B101" t="s">
        <v>29</v>
      </c>
      <c r="C101" t="s">
        <v>35</v>
      </c>
      <c r="D101" s="11">
        <v>886</v>
      </c>
      <c r="E101">
        <v>10.59</v>
      </c>
      <c r="F101">
        <v>14</v>
      </c>
      <c r="G101">
        <f t="shared" si="7"/>
        <v>12404</v>
      </c>
      <c r="H101" t="s">
        <v>71</v>
      </c>
      <c r="J101" s="9">
        <v>45650</v>
      </c>
      <c r="K101" t="s">
        <v>41</v>
      </c>
      <c r="L101" t="s">
        <v>24</v>
      </c>
      <c r="M101" t="str">
        <f t="shared" si="8"/>
        <v>Public Sector</v>
      </c>
      <c r="N101" t="str">
        <f t="shared" si="9"/>
        <v>Small Order</v>
      </c>
      <c r="O101">
        <f t="shared" si="10"/>
        <v>2852.92</v>
      </c>
      <c r="P101">
        <f t="shared" si="11"/>
        <v>0</v>
      </c>
      <c r="Q101" t="b">
        <f t="shared" si="12"/>
        <v>0</v>
      </c>
      <c r="R101">
        <f t="shared" si="13"/>
        <v>0</v>
      </c>
      <c r="S101" s="14">
        <f>_xlfn.XLOOKUP(B101,Summary!$C$10:$C$15,Summary!$B$10:$B$15)</f>
        <v>0.22</v>
      </c>
      <c r="T101">
        <f>IF(AND(H101="Yes",L101&lt;&gt;"Government"),G101*(_xlfn.XLOOKUP(B101,Summary!$C$10:$C$15,Summary!$B$10:$B$15)),0)</f>
        <v>0</v>
      </c>
    </row>
    <row r="102" spans="1:20" x14ac:dyDescent="0.25">
      <c r="A102">
        <v>31955</v>
      </c>
      <c r="B102" t="s">
        <v>29</v>
      </c>
      <c r="C102" t="s">
        <v>37</v>
      </c>
      <c r="D102" s="11">
        <v>2178</v>
      </c>
      <c r="E102">
        <v>250.61</v>
      </c>
      <c r="F102">
        <v>311</v>
      </c>
      <c r="G102">
        <f t="shared" si="7"/>
        <v>677358</v>
      </c>
      <c r="H102" t="s">
        <v>72</v>
      </c>
      <c r="J102" s="9">
        <v>45276</v>
      </c>
      <c r="K102" t="s">
        <v>26</v>
      </c>
      <c r="L102" t="s">
        <v>28</v>
      </c>
      <c r="M102" t="str">
        <f t="shared" si="8"/>
        <v>Private Industry</v>
      </c>
      <c r="N102" t="str">
        <f t="shared" si="9"/>
        <v>Large Order</v>
      </c>
      <c r="O102">
        <f t="shared" si="10"/>
        <v>0</v>
      </c>
      <c r="P102">
        <f t="shared" si="11"/>
        <v>0</v>
      </c>
      <c r="Q102" t="b">
        <f t="shared" si="12"/>
        <v>0</v>
      </c>
      <c r="R102">
        <f t="shared" si="13"/>
        <v>0</v>
      </c>
      <c r="S102" s="14">
        <f>_xlfn.XLOOKUP(B102,Summary!$C$10:$C$15,Summary!$B$10:$B$15)</f>
        <v>0.22</v>
      </c>
      <c r="T102">
        <f>IF(AND(H102="Yes",L102&lt;&gt;"Government"),G102*(_xlfn.XLOOKUP(B102,Summary!$C$10:$C$15,Summary!$B$10:$B$15)),0)</f>
        <v>0</v>
      </c>
    </row>
    <row r="103" spans="1:20" x14ac:dyDescent="0.25">
      <c r="A103">
        <v>29645</v>
      </c>
      <c r="B103" t="s">
        <v>42</v>
      </c>
      <c r="C103" t="s">
        <v>38</v>
      </c>
      <c r="D103" s="11">
        <v>1074</v>
      </c>
      <c r="E103">
        <v>260.10000000000002</v>
      </c>
      <c r="F103">
        <v>271</v>
      </c>
      <c r="G103">
        <f t="shared" si="7"/>
        <v>291054</v>
      </c>
      <c r="H103" t="s">
        <v>72</v>
      </c>
      <c r="J103" s="9">
        <v>45543</v>
      </c>
      <c r="K103" t="s">
        <v>39</v>
      </c>
      <c r="L103" t="s">
        <v>33</v>
      </c>
      <c r="M103" t="str">
        <f t="shared" si="8"/>
        <v>Private Industry</v>
      </c>
      <c r="N103" t="str">
        <f t="shared" si="9"/>
        <v>Small Order</v>
      </c>
      <c r="O103">
        <f t="shared" si="10"/>
        <v>0</v>
      </c>
      <c r="P103">
        <f t="shared" si="11"/>
        <v>0</v>
      </c>
      <c r="Q103" t="b">
        <f t="shared" si="12"/>
        <v>0</v>
      </c>
      <c r="R103">
        <f t="shared" si="13"/>
        <v>0</v>
      </c>
      <c r="S103" s="14">
        <f>_xlfn.XLOOKUP(B103,Summary!$C$10:$C$15,Summary!$B$10:$B$15)</f>
        <v>0.24</v>
      </c>
      <c r="T103">
        <f>IF(AND(H103="Yes",L103&lt;&gt;"Government"),G103*(_xlfn.XLOOKUP(B103,Summary!$C$10:$C$15,Summary!$B$10:$B$15)),0)</f>
        <v>0</v>
      </c>
    </row>
    <row r="104" spans="1:20" x14ac:dyDescent="0.25">
      <c r="A104">
        <v>81538</v>
      </c>
      <c r="B104" t="s">
        <v>29</v>
      </c>
      <c r="C104" t="s">
        <v>30</v>
      </c>
      <c r="D104" s="11">
        <v>2501</v>
      </c>
      <c r="E104">
        <v>5.25</v>
      </c>
      <c r="F104">
        <v>7</v>
      </c>
      <c r="G104">
        <f t="shared" si="7"/>
        <v>17507</v>
      </c>
      <c r="H104" t="s">
        <v>72</v>
      </c>
      <c r="J104" s="9">
        <v>45438</v>
      </c>
      <c r="K104" t="s">
        <v>40</v>
      </c>
      <c r="L104" t="s">
        <v>28</v>
      </c>
      <c r="M104" t="str">
        <f t="shared" si="8"/>
        <v>Private Industry</v>
      </c>
      <c r="N104" t="str">
        <f t="shared" si="9"/>
        <v>Large Order</v>
      </c>
      <c r="O104">
        <f t="shared" si="10"/>
        <v>0</v>
      </c>
      <c r="P104">
        <f t="shared" si="11"/>
        <v>0</v>
      </c>
      <c r="Q104" t="b">
        <f t="shared" si="12"/>
        <v>0</v>
      </c>
      <c r="R104">
        <f t="shared" si="13"/>
        <v>0</v>
      </c>
      <c r="S104" s="14">
        <f>_xlfn.XLOOKUP(B104,Summary!$C$10:$C$15,Summary!$B$10:$B$15)</f>
        <v>0.22</v>
      </c>
      <c r="T104">
        <f>IF(AND(H104="Yes",L104&lt;&gt;"Government"),G104*(_xlfn.XLOOKUP(B104,Summary!$C$10:$C$15,Summary!$B$10:$B$15)),0)</f>
        <v>0</v>
      </c>
    </row>
    <row r="105" spans="1:20" x14ac:dyDescent="0.25">
      <c r="A105">
        <v>33237</v>
      </c>
      <c r="B105" t="s">
        <v>32</v>
      </c>
      <c r="C105" t="s">
        <v>35</v>
      </c>
      <c r="D105" s="11">
        <v>2620</v>
      </c>
      <c r="E105">
        <v>10.75</v>
      </c>
      <c r="F105">
        <v>16</v>
      </c>
      <c r="G105">
        <f t="shared" si="7"/>
        <v>41920</v>
      </c>
      <c r="H105" t="s">
        <v>72</v>
      </c>
      <c r="J105" s="9">
        <v>45396</v>
      </c>
      <c r="K105" t="s">
        <v>40</v>
      </c>
      <c r="L105" t="s">
        <v>28</v>
      </c>
      <c r="M105" t="str">
        <f t="shared" si="8"/>
        <v>Private Industry</v>
      </c>
      <c r="N105" t="str">
        <f t="shared" si="9"/>
        <v>Large Order</v>
      </c>
      <c r="O105">
        <f t="shared" si="10"/>
        <v>0</v>
      </c>
      <c r="P105">
        <f t="shared" si="11"/>
        <v>0</v>
      </c>
      <c r="Q105" t="b">
        <f t="shared" si="12"/>
        <v>0</v>
      </c>
      <c r="R105">
        <f t="shared" si="13"/>
        <v>0</v>
      </c>
      <c r="S105" s="14">
        <f>_xlfn.XLOOKUP(B105,Summary!$C$10:$C$15,Summary!$B$10:$B$15)</f>
        <v>0.23</v>
      </c>
      <c r="T105">
        <f>IF(AND(H105="Yes",L105&lt;&gt;"Government"),G105*(_xlfn.XLOOKUP(B105,Summary!$C$10:$C$15,Summary!$B$10:$B$15)),0)</f>
        <v>0</v>
      </c>
    </row>
    <row r="106" spans="1:20" x14ac:dyDescent="0.25">
      <c r="A106">
        <v>59074</v>
      </c>
      <c r="B106" t="s">
        <v>32</v>
      </c>
      <c r="C106" t="s">
        <v>36</v>
      </c>
      <c r="D106" s="11">
        <v>635</v>
      </c>
      <c r="E106">
        <v>120.02</v>
      </c>
      <c r="F106">
        <v>175</v>
      </c>
      <c r="G106">
        <f t="shared" si="7"/>
        <v>111125</v>
      </c>
      <c r="H106" t="s">
        <v>72</v>
      </c>
      <c r="J106" s="9">
        <v>45299</v>
      </c>
      <c r="K106" t="s">
        <v>40</v>
      </c>
      <c r="L106" t="s">
        <v>34</v>
      </c>
      <c r="M106" t="str">
        <f t="shared" si="8"/>
        <v>Private Industry</v>
      </c>
      <c r="N106" t="str">
        <f t="shared" si="9"/>
        <v>Small Order</v>
      </c>
      <c r="O106">
        <f t="shared" si="10"/>
        <v>0</v>
      </c>
      <c r="P106">
        <f t="shared" si="11"/>
        <v>0</v>
      </c>
      <c r="Q106" t="b">
        <f t="shared" si="12"/>
        <v>0</v>
      </c>
      <c r="R106">
        <f t="shared" si="13"/>
        <v>0</v>
      </c>
      <c r="S106" s="14">
        <f>_xlfn.XLOOKUP(B106,Summary!$C$10:$C$15,Summary!$B$10:$B$15)</f>
        <v>0.23</v>
      </c>
      <c r="T106">
        <f>IF(AND(H106="Yes",L106&lt;&gt;"Government"),G106*(_xlfn.XLOOKUP(B106,Summary!$C$10:$C$15,Summary!$B$10:$B$15)),0)</f>
        <v>0</v>
      </c>
    </row>
    <row r="107" spans="1:20" x14ac:dyDescent="0.25">
      <c r="A107">
        <v>39245</v>
      </c>
      <c r="B107" t="s">
        <v>43</v>
      </c>
      <c r="C107" t="s">
        <v>38</v>
      </c>
      <c r="D107" s="11">
        <v>1953</v>
      </c>
      <c r="E107">
        <v>260.63</v>
      </c>
      <c r="F107">
        <v>360</v>
      </c>
      <c r="G107">
        <f t="shared" si="7"/>
        <v>703080</v>
      </c>
      <c r="H107" t="s">
        <v>72</v>
      </c>
      <c r="J107" s="9">
        <v>45723</v>
      </c>
      <c r="K107" t="s">
        <v>26</v>
      </c>
      <c r="L107" t="s">
        <v>31</v>
      </c>
      <c r="M107" t="str">
        <f t="shared" si="8"/>
        <v>Private Industry</v>
      </c>
      <c r="N107" t="str">
        <f t="shared" si="9"/>
        <v>Large Order</v>
      </c>
      <c r="O107">
        <f t="shared" si="10"/>
        <v>0</v>
      </c>
      <c r="P107">
        <f t="shared" si="11"/>
        <v>0</v>
      </c>
      <c r="Q107" t="b">
        <f t="shared" si="12"/>
        <v>0</v>
      </c>
      <c r="R107">
        <f t="shared" si="13"/>
        <v>0</v>
      </c>
      <c r="S107" s="14">
        <f>_xlfn.XLOOKUP(B107,Summary!$C$10:$C$15,Summary!$B$10:$B$15)</f>
        <v>0.21</v>
      </c>
      <c r="T107">
        <f>IF(AND(H107="Yes",L107&lt;&gt;"Government"),G107*(_xlfn.XLOOKUP(B107,Summary!$C$10:$C$15,Summary!$B$10:$B$15)),0)</f>
        <v>0</v>
      </c>
    </row>
    <row r="108" spans="1:20" x14ac:dyDescent="0.25">
      <c r="A108">
        <v>64829</v>
      </c>
      <c r="B108" t="s">
        <v>29</v>
      </c>
      <c r="C108" t="s">
        <v>25</v>
      </c>
      <c r="D108" s="11">
        <v>2487</v>
      </c>
      <c r="E108">
        <v>3.89</v>
      </c>
      <c r="F108">
        <v>6</v>
      </c>
      <c r="G108">
        <f t="shared" si="7"/>
        <v>14922</v>
      </c>
      <c r="H108" t="s">
        <v>72</v>
      </c>
      <c r="J108" s="9">
        <v>45320</v>
      </c>
      <c r="K108" t="s">
        <v>40</v>
      </c>
      <c r="L108" t="s">
        <v>24</v>
      </c>
      <c r="M108" t="str">
        <f t="shared" si="8"/>
        <v>Public Sector</v>
      </c>
      <c r="N108" t="str">
        <f t="shared" si="9"/>
        <v>Large Order</v>
      </c>
      <c r="O108">
        <f t="shared" si="10"/>
        <v>0</v>
      </c>
      <c r="P108">
        <f t="shared" si="11"/>
        <v>0</v>
      </c>
      <c r="Q108" t="b">
        <f t="shared" si="12"/>
        <v>0</v>
      </c>
      <c r="R108">
        <f t="shared" si="13"/>
        <v>0</v>
      </c>
      <c r="S108" s="14">
        <f>_xlfn.XLOOKUP(B108,Summary!$C$10:$C$15,Summary!$B$10:$B$15)</f>
        <v>0.22</v>
      </c>
      <c r="T108">
        <f>IF(AND(H108="Yes",L108&lt;&gt;"Government"),G108*(_xlfn.XLOOKUP(B108,Summary!$C$10:$C$15,Summary!$B$10:$B$15)),0)</f>
        <v>0</v>
      </c>
    </row>
    <row r="109" spans="1:20" x14ac:dyDescent="0.25">
      <c r="A109">
        <v>81742</v>
      </c>
      <c r="B109" t="s">
        <v>29</v>
      </c>
      <c r="C109" t="s">
        <v>35</v>
      </c>
      <c r="D109" s="11">
        <v>2441</v>
      </c>
      <c r="E109">
        <v>10.44</v>
      </c>
      <c r="F109">
        <v>11</v>
      </c>
      <c r="G109">
        <f t="shared" si="7"/>
        <v>26851</v>
      </c>
      <c r="H109" t="s">
        <v>72</v>
      </c>
      <c r="J109" s="9">
        <v>45628</v>
      </c>
      <c r="K109" t="s">
        <v>41</v>
      </c>
      <c r="L109" t="s">
        <v>33</v>
      </c>
      <c r="M109" t="str">
        <f t="shared" si="8"/>
        <v>Private Industry</v>
      </c>
      <c r="N109" t="str">
        <f t="shared" si="9"/>
        <v>Large Order</v>
      </c>
      <c r="O109">
        <f t="shared" si="10"/>
        <v>0</v>
      </c>
      <c r="P109">
        <f t="shared" si="11"/>
        <v>0</v>
      </c>
      <c r="Q109" t="b">
        <f t="shared" si="12"/>
        <v>0</v>
      </c>
      <c r="R109">
        <f t="shared" si="13"/>
        <v>0</v>
      </c>
      <c r="S109" s="14">
        <f>_xlfn.XLOOKUP(B109,Summary!$C$10:$C$15,Summary!$B$10:$B$15)</f>
        <v>0.22</v>
      </c>
      <c r="T109">
        <f>IF(AND(H109="Yes",L109&lt;&gt;"Government"),G109*(_xlfn.XLOOKUP(B109,Summary!$C$10:$C$15,Summary!$B$10:$B$15)),0)</f>
        <v>0</v>
      </c>
    </row>
    <row r="110" spans="1:20" x14ac:dyDescent="0.25">
      <c r="A110">
        <v>45751</v>
      </c>
      <c r="B110" t="s">
        <v>32</v>
      </c>
      <c r="C110" t="s">
        <v>35</v>
      </c>
      <c r="D110" s="11">
        <v>367</v>
      </c>
      <c r="E110">
        <v>10.050000000000001</v>
      </c>
      <c r="F110">
        <v>13</v>
      </c>
      <c r="G110">
        <f t="shared" si="7"/>
        <v>4771</v>
      </c>
      <c r="H110" t="s">
        <v>72</v>
      </c>
      <c r="J110" s="9">
        <v>45303</v>
      </c>
      <c r="K110" t="s">
        <v>26</v>
      </c>
      <c r="L110" t="s">
        <v>31</v>
      </c>
      <c r="M110" t="str">
        <f t="shared" si="8"/>
        <v>Private Industry</v>
      </c>
      <c r="N110" t="str">
        <f t="shared" si="9"/>
        <v>Small Order</v>
      </c>
      <c r="O110">
        <f t="shared" si="10"/>
        <v>0</v>
      </c>
      <c r="P110">
        <f t="shared" si="11"/>
        <v>0</v>
      </c>
      <c r="Q110" t="b">
        <f t="shared" si="12"/>
        <v>0</v>
      </c>
      <c r="R110">
        <f t="shared" si="13"/>
        <v>0</v>
      </c>
      <c r="S110" s="14">
        <f>_xlfn.XLOOKUP(B110,Summary!$C$10:$C$15,Summary!$B$10:$B$15)</f>
        <v>0.23</v>
      </c>
      <c r="T110">
        <f>IF(AND(H110="Yes",L110&lt;&gt;"Government"),G110*(_xlfn.XLOOKUP(B110,Summary!$C$10:$C$15,Summary!$B$10:$B$15)),0)</f>
        <v>0</v>
      </c>
    </row>
    <row r="111" spans="1:20" x14ac:dyDescent="0.25">
      <c r="A111">
        <v>10786</v>
      </c>
      <c r="B111" t="s">
        <v>29</v>
      </c>
      <c r="C111" t="s">
        <v>36</v>
      </c>
      <c r="D111" s="11">
        <v>245</v>
      </c>
      <c r="E111">
        <v>120.96</v>
      </c>
      <c r="F111">
        <v>148</v>
      </c>
      <c r="G111">
        <f t="shared" si="7"/>
        <v>36260</v>
      </c>
      <c r="H111" t="s">
        <v>71</v>
      </c>
      <c r="J111" s="9">
        <v>45389</v>
      </c>
      <c r="K111" t="s">
        <v>40</v>
      </c>
      <c r="L111" t="s">
        <v>28</v>
      </c>
      <c r="M111" t="str">
        <f t="shared" si="8"/>
        <v>Private Industry</v>
      </c>
      <c r="N111" t="str">
        <f t="shared" si="9"/>
        <v>Small Order</v>
      </c>
      <c r="O111">
        <f t="shared" si="10"/>
        <v>8339.8000000000011</v>
      </c>
      <c r="P111">
        <f t="shared" si="11"/>
        <v>8339.8000000000011</v>
      </c>
      <c r="Q111" t="b">
        <f t="shared" si="12"/>
        <v>1</v>
      </c>
      <c r="R111">
        <f t="shared" si="13"/>
        <v>8339.8000000000011</v>
      </c>
      <c r="S111" s="14">
        <f>_xlfn.XLOOKUP(B111,Summary!$C$10:$C$15,Summary!$B$10:$B$15)</f>
        <v>0.22</v>
      </c>
      <c r="T111">
        <f>IF(AND(H111="Yes",L111&lt;&gt;"Government"),G111*(_xlfn.XLOOKUP(B111,Summary!$C$10:$C$15,Summary!$B$10:$B$15)),0)</f>
        <v>7977.2</v>
      </c>
    </row>
    <row r="112" spans="1:20" x14ac:dyDescent="0.25">
      <c r="A112">
        <v>67288</v>
      </c>
      <c r="B112" t="s">
        <v>29</v>
      </c>
      <c r="C112" t="s">
        <v>35</v>
      </c>
      <c r="D112" s="11">
        <v>1901</v>
      </c>
      <c r="E112">
        <v>10.52</v>
      </c>
      <c r="F112">
        <v>15</v>
      </c>
      <c r="G112">
        <f t="shared" si="7"/>
        <v>28515</v>
      </c>
      <c r="H112" t="s">
        <v>71</v>
      </c>
      <c r="J112" s="9">
        <v>45208</v>
      </c>
      <c r="K112" t="s">
        <v>39</v>
      </c>
      <c r="L112" t="s">
        <v>31</v>
      </c>
      <c r="M112" t="str">
        <f t="shared" si="8"/>
        <v>Private Industry</v>
      </c>
      <c r="N112" t="str">
        <f t="shared" si="9"/>
        <v>Large Order</v>
      </c>
      <c r="O112">
        <f t="shared" si="10"/>
        <v>6558.4500000000007</v>
      </c>
      <c r="P112">
        <f t="shared" si="11"/>
        <v>6558.4500000000007</v>
      </c>
      <c r="Q112" t="b">
        <f t="shared" si="12"/>
        <v>1</v>
      </c>
      <c r="R112">
        <f t="shared" si="13"/>
        <v>6558.4500000000007</v>
      </c>
      <c r="S112" s="14">
        <f>_xlfn.XLOOKUP(B112,Summary!$C$10:$C$15,Summary!$B$10:$B$15)</f>
        <v>0.22</v>
      </c>
      <c r="T112">
        <f>IF(AND(H112="Yes",L112&lt;&gt;"Government"),G112*(_xlfn.XLOOKUP(B112,Summary!$C$10:$C$15,Summary!$B$10:$B$15)),0)</f>
        <v>6273.3</v>
      </c>
    </row>
    <row r="113" spans="1:20" x14ac:dyDescent="0.25">
      <c r="A113">
        <v>35553</v>
      </c>
      <c r="B113" t="s">
        <v>42</v>
      </c>
      <c r="C113" t="s">
        <v>38</v>
      </c>
      <c r="D113" s="11">
        <v>410</v>
      </c>
      <c r="E113">
        <v>260.99</v>
      </c>
      <c r="F113">
        <v>282</v>
      </c>
      <c r="G113">
        <f t="shared" si="7"/>
        <v>115620</v>
      </c>
      <c r="H113" t="s">
        <v>71</v>
      </c>
      <c r="J113" s="9">
        <v>45196</v>
      </c>
      <c r="K113" t="s">
        <v>41</v>
      </c>
      <c r="L113" t="s">
        <v>31</v>
      </c>
      <c r="M113" t="str">
        <f t="shared" si="8"/>
        <v>Private Industry</v>
      </c>
      <c r="N113" t="str">
        <f t="shared" si="9"/>
        <v>Small Order</v>
      </c>
      <c r="O113">
        <f t="shared" si="10"/>
        <v>26592.600000000002</v>
      </c>
      <c r="P113">
        <f t="shared" si="11"/>
        <v>26592.600000000002</v>
      </c>
      <c r="Q113" t="b">
        <f t="shared" si="12"/>
        <v>1</v>
      </c>
      <c r="R113">
        <f t="shared" si="13"/>
        <v>26592.600000000002</v>
      </c>
      <c r="S113" s="14">
        <f>_xlfn.XLOOKUP(B113,Summary!$C$10:$C$15,Summary!$B$10:$B$15)</f>
        <v>0.24</v>
      </c>
      <c r="T113">
        <f>IF(AND(H113="Yes",L113&lt;&gt;"Government"),G113*(_xlfn.XLOOKUP(B113,Summary!$C$10:$C$15,Summary!$B$10:$B$15)),0)</f>
        <v>27748.799999999999</v>
      </c>
    </row>
    <row r="114" spans="1:20" x14ac:dyDescent="0.25">
      <c r="A114">
        <v>34641</v>
      </c>
      <c r="B114" t="s">
        <v>42</v>
      </c>
      <c r="C114" t="s">
        <v>30</v>
      </c>
      <c r="D114" s="11">
        <v>2420</v>
      </c>
      <c r="E114">
        <v>5.98</v>
      </c>
      <c r="F114">
        <v>9</v>
      </c>
      <c r="G114">
        <f t="shared" si="7"/>
        <v>21780</v>
      </c>
      <c r="H114" t="s">
        <v>71</v>
      </c>
      <c r="J114" s="9">
        <v>45388</v>
      </c>
      <c r="K114" t="s">
        <v>41</v>
      </c>
      <c r="L114" t="s">
        <v>24</v>
      </c>
      <c r="M114" t="str">
        <f t="shared" si="8"/>
        <v>Public Sector</v>
      </c>
      <c r="N114" t="str">
        <f t="shared" si="9"/>
        <v>Large Order</v>
      </c>
      <c r="O114">
        <f t="shared" si="10"/>
        <v>5009.4000000000005</v>
      </c>
      <c r="P114">
        <f t="shared" si="11"/>
        <v>0</v>
      </c>
      <c r="Q114" t="b">
        <f t="shared" si="12"/>
        <v>0</v>
      </c>
      <c r="R114">
        <f t="shared" si="13"/>
        <v>0</v>
      </c>
      <c r="S114" s="14">
        <f>_xlfn.XLOOKUP(B114,Summary!$C$10:$C$15,Summary!$B$10:$B$15)</f>
        <v>0.24</v>
      </c>
      <c r="T114">
        <f>IF(AND(H114="Yes",L114&lt;&gt;"Government"),G114*(_xlfn.XLOOKUP(B114,Summary!$C$10:$C$15,Summary!$B$10:$B$15)),0)</f>
        <v>0</v>
      </c>
    </row>
    <row r="115" spans="1:20" x14ac:dyDescent="0.25">
      <c r="A115">
        <v>96606</v>
      </c>
      <c r="B115" t="s">
        <v>27</v>
      </c>
      <c r="C115" t="s">
        <v>30</v>
      </c>
      <c r="D115" s="11">
        <v>1859</v>
      </c>
      <c r="E115">
        <v>5.04</v>
      </c>
      <c r="F115">
        <v>8</v>
      </c>
      <c r="G115">
        <f t="shared" si="7"/>
        <v>14872</v>
      </c>
      <c r="H115" t="s">
        <v>71</v>
      </c>
      <c r="J115" s="9">
        <v>45540</v>
      </c>
      <c r="K115" t="s">
        <v>39</v>
      </c>
      <c r="L115" t="s">
        <v>34</v>
      </c>
      <c r="M115" t="str">
        <f t="shared" si="8"/>
        <v>Private Industry</v>
      </c>
      <c r="N115" t="str">
        <f t="shared" si="9"/>
        <v>Large Order</v>
      </c>
      <c r="O115">
        <f t="shared" si="10"/>
        <v>3420.56</v>
      </c>
      <c r="P115">
        <f t="shared" si="11"/>
        <v>3420.56</v>
      </c>
      <c r="Q115" t="b">
        <f t="shared" si="12"/>
        <v>1</v>
      </c>
      <c r="R115">
        <f t="shared" si="13"/>
        <v>3420.56</v>
      </c>
      <c r="S115" s="14">
        <f>_xlfn.XLOOKUP(B115,Summary!$C$10:$C$15,Summary!$B$10:$B$15)</f>
        <v>0.19</v>
      </c>
      <c r="T115">
        <f>IF(AND(H115="Yes",L115&lt;&gt;"Government"),G115*(_xlfn.XLOOKUP(B115,Summary!$C$10:$C$15,Summary!$B$10:$B$15)),0)</f>
        <v>2825.68</v>
      </c>
    </row>
    <row r="116" spans="1:20" x14ac:dyDescent="0.25">
      <c r="A116">
        <v>61176</v>
      </c>
      <c r="B116" t="s">
        <v>44</v>
      </c>
      <c r="C116" t="s">
        <v>35</v>
      </c>
      <c r="D116" s="11">
        <v>1249</v>
      </c>
      <c r="E116">
        <v>10.06</v>
      </c>
      <c r="F116">
        <v>11</v>
      </c>
      <c r="G116">
        <f t="shared" si="7"/>
        <v>13739</v>
      </c>
      <c r="H116" t="s">
        <v>72</v>
      </c>
      <c r="J116" s="9">
        <v>45200</v>
      </c>
      <c r="K116" t="s">
        <v>41</v>
      </c>
      <c r="L116" t="s">
        <v>24</v>
      </c>
      <c r="M116" t="str">
        <f t="shared" si="8"/>
        <v>Public Sector</v>
      </c>
      <c r="N116" t="str">
        <f t="shared" si="9"/>
        <v>Small Order</v>
      </c>
      <c r="O116">
        <f t="shared" si="10"/>
        <v>0</v>
      </c>
      <c r="P116">
        <f t="shared" si="11"/>
        <v>0</v>
      </c>
      <c r="Q116" t="b">
        <f t="shared" si="12"/>
        <v>0</v>
      </c>
      <c r="R116">
        <f t="shared" si="13"/>
        <v>0</v>
      </c>
      <c r="S116" s="14">
        <f>_xlfn.XLOOKUP(B116,Summary!$C$10:$C$15,Summary!$B$10:$B$15)</f>
        <v>0.2</v>
      </c>
      <c r="T116">
        <f>IF(AND(H116="Yes",L116&lt;&gt;"Government"),G116*(_xlfn.XLOOKUP(B116,Summary!$C$10:$C$15,Summary!$B$10:$B$15)),0)</f>
        <v>0</v>
      </c>
    </row>
    <row r="117" spans="1:20" x14ac:dyDescent="0.25">
      <c r="A117">
        <v>15510</v>
      </c>
      <c r="B117" t="s">
        <v>43</v>
      </c>
      <c r="C117" t="s">
        <v>35</v>
      </c>
      <c r="D117" s="11">
        <v>1056</v>
      </c>
      <c r="E117">
        <v>10.51</v>
      </c>
      <c r="F117">
        <v>12</v>
      </c>
      <c r="G117">
        <f t="shared" si="7"/>
        <v>12672</v>
      </c>
      <c r="H117" t="s">
        <v>71</v>
      </c>
      <c r="J117" s="9">
        <v>45406</v>
      </c>
      <c r="K117" t="s">
        <v>39</v>
      </c>
      <c r="L117" t="s">
        <v>24</v>
      </c>
      <c r="M117" t="str">
        <f t="shared" si="8"/>
        <v>Public Sector</v>
      </c>
      <c r="N117" t="str">
        <f t="shared" si="9"/>
        <v>Small Order</v>
      </c>
      <c r="O117">
        <f t="shared" si="10"/>
        <v>2914.56</v>
      </c>
      <c r="P117">
        <f t="shared" si="11"/>
        <v>0</v>
      </c>
      <c r="Q117" t="b">
        <f t="shared" si="12"/>
        <v>0</v>
      </c>
      <c r="R117">
        <f t="shared" si="13"/>
        <v>0</v>
      </c>
      <c r="S117" s="14">
        <f>_xlfn.XLOOKUP(B117,Summary!$C$10:$C$15,Summary!$B$10:$B$15)</f>
        <v>0.21</v>
      </c>
      <c r="T117">
        <f>IF(AND(H117="Yes",L117&lt;&gt;"Government"),G117*(_xlfn.XLOOKUP(B117,Summary!$C$10:$C$15,Summary!$B$10:$B$15)),0)</f>
        <v>0</v>
      </c>
    </row>
    <row r="118" spans="1:20" x14ac:dyDescent="0.25">
      <c r="A118">
        <v>98981</v>
      </c>
      <c r="B118" t="s">
        <v>32</v>
      </c>
      <c r="C118" t="s">
        <v>25</v>
      </c>
      <c r="D118" s="11">
        <v>1198</v>
      </c>
      <c r="E118">
        <v>3.16</v>
      </c>
      <c r="F118">
        <v>5</v>
      </c>
      <c r="G118">
        <f t="shared" si="7"/>
        <v>5990</v>
      </c>
      <c r="H118" t="s">
        <v>71</v>
      </c>
      <c r="J118" s="9">
        <v>45267</v>
      </c>
      <c r="K118" t="s">
        <v>41</v>
      </c>
      <c r="L118" t="s">
        <v>31</v>
      </c>
      <c r="M118" t="str">
        <f t="shared" si="8"/>
        <v>Private Industry</v>
      </c>
      <c r="N118" t="str">
        <f t="shared" si="9"/>
        <v>Small Order</v>
      </c>
      <c r="O118">
        <f t="shared" si="10"/>
        <v>1377.7</v>
      </c>
      <c r="P118">
        <f t="shared" si="11"/>
        <v>1377.7</v>
      </c>
      <c r="Q118" t="b">
        <f t="shared" si="12"/>
        <v>1</v>
      </c>
      <c r="R118">
        <f t="shared" si="13"/>
        <v>1377.7</v>
      </c>
      <c r="S118" s="14">
        <f>_xlfn.XLOOKUP(B118,Summary!$C$10:$C$15,Summary!$B$10:$B$15)</f>
        <v>0.23</v>
      </c>
      <c r="T118">
        <f>IF(AND(H118="Yes",L118&lt;&gt;"Government"),G118*(_xlfn.XLOOKUP(B118,Summary!$C$10:$C$15,Summary!$B$10:$B$15)),0)</f>
        <v>1377.7</v>
      </c>
    </row>
    <row r="119" spans="1:20" x14ac:dyDescent="0.25">
      <c r="A119">
        <v>77990</v>
      </c>
      <c r="B119" t="s">
        <v>29</v>
      </c>
      <c r="C119" t="s">
        <v>37</v>
      </c>
      <c r="D119" s="11">
        <v>2234</v>
      </c>
      <c r="E119">
        <v>250.26</v>
      </c>
      <c r="F119">
        <v>313</v>
      </c>
      <c r="G119">
        <f t="shared" si="7"/>
        <v>699242</v>
      </c>
      <c r="H119" t="s">
        <v>72</v>
      </c>
      <c r="J119" s="9">
        <v>45646</v>
      </c>
      <c r="K119" t="s">
        <v>40</v>
      </c>
      <c r="L119" t="s">
        <v>31</v>
      </c>
      <c r="M119" t="str">
        <f t="shared" si="8"/>
        <v>Private Industry</v>
      </c>
      <c r="N119" t="str">
        <f t="shared" si="9"/>
        <v>Large Order</v>
      </c>
      <c r="O119">
        <f t="shared" si="10"/>
        <v>0</v>
      </c>
      <c r="P119">
        <f t="shared" si="11"/>
        <v>0</v>
      </c>
      <c r="Q119" t="b">
        <f t="shared" si="12"/>
        <v>0</v>
      </c>
      <c r="R119">
        <f t="shared" si="13"/>
        <v>0</v>
      </c>
      <c r="S119" s="14">
        <f>_xlfn.XLOOKUP(B119,Summary!$C$10:$C$15,Summary!$B$10:$B$15)</f>
        <v>0.22</v>
      </c>
      <c r="T119">
        <f>IF(AND(H119="Yes",L119&lt;&gt;"Government"),G119*(_xlfn.XLOOKUP(B119,Summary!$C$10:$C$15,Summary!$B$10:$B$15)),0)</f>
        <v>0</v>
      </c>
    </row>
    <row r="120" spans="1:20" x14ac:dyDescent="0.25">
      <c r="A120">
        <v>22200</v>
      </c>
      <c r="B120" t="s">
        <v>27</v>
      </c>
      <c r="C120" t="s">
        <v>36</v>
      </c>
      <c r="D120" s="11">
        <v>2145</v>
      </c>
      <c r="E120">
        <v>120.42</v>
      </c>
      <c r="F120">
        <v>178</v>
      </c>
      <c r="G120">
        <f t="shared" si="7"/>
        <v>381810</v>
      </c>
      <c r="H120" t="s">
        <v>72</v>
      </c>
      <c r="J120" s="9">
        <v>45319</v>
      </c>
      <c r="K120" t="s">
        <v>39</v>
      </c>
      <c r="L120" t="s">
        <v>33</v>
      </c>
      <c r="M120" t="str">
        <f t="shared" si="8"/>
        <v>Private Industry</v>
      </c>
      <c r="N120" t="str">
        <f t="shared" si="9"/>
        <v>Large Order</v>
      </c>
      <c r="O120">
        <f t="shared" si="10"/>
        <v>0</v>
      </c>
      <c r="P120">
        <f t="shared" si="11"/>
        <v>0</v>
      </c>
      <c r="Q120" t="b">
        <f t="shared" si="12"/>
        <v>0</v>
      </c>
      <c r="R120">
        <f t="shared" si="13"/>
        <v>0</v>
      </c>
      <c r="S120" s="14">
        <f>_xlfn.XLOOKUP(B120,Summary!$C$10:$C$15,Summary!$B$10:$B$15)</f>
        <v>0.19</v>
      </c>
      <c r="T120">
        <f>IF(AND(H120="Yes",L120&lt;&gt;"Government"),G120*(_xlfn.XLOOKUP(B120,Summary!$C$10:$C$15,Summary!$B$10:$B$15)),0)</f>
        <v>0</v>
      </c>
    </row>
    <row r="121" spans="1:20" x14ac:dyDescent="0.25">
      <c r="A121">
        <v>21242</v>
      </c>
      <c r="B121" t="s">
        <v>29</v>
      </c>
      <c r="C121" t="s">
        <v>36</v>
      </c>
      <c r="D121" s="11">
        <v>853</v>
      </c>
      <c r="E121">
        <v>121</v>
      </c>
      <c r="F121">
        <v>159</v>
      </c>
      <c r="G121">
        <f t="shared" si="7"/>
        <v>135627</v>
      </c>
      <c r="H121" t="s">
        <v>71</v>
      </c>
      <c r="J121" s="9">
        <v>45299</v>
      </c>
      <c r="K121" t="s">
        <v>41</v>
      </c>
      <c r="L121" t="s">
        <v>34</v>
      </c>
      <c r="M121" t="str">
        <f t="shared" si="8"/>
        <v>Private Industry</v>
      </c>
      <c r="N121" t="str">
        <f t="shared" si="9"/>
        <v>Small Order</v>
      </c>
      <c r="O121">
        <f t="shared" si="10"/>
        <v>31194.210000000003</v>
      </c>
      <c r="P121">
        <f t="shared" si="11"/>
        <v>31194.210000000003</v>
      </c>
      <c r="Q121" t="b">
        <f t="shared" si="12"/>
        <v>1</v>
      </c>
      <c r="R121">
        <f t="shared" si="13"/>
        <v>31194.210000000003</v>
      </c>
      <c r="S121" s="14">
        <f>_xlfn.XLOOKUP(B121,Summary!$C$10:$C$15,Summary!$B$10:$B$15)</f>
        <v>0.22</v>
      </c>
      <c r="T121">
        <f>IF(AND(H121="Yes",L121&lt;&gt;"Government"),G121*(_xlfn.XLOOKUP(B121,Summary!$C$10:$C$15,Summary!$B$10:$B$15)),0)</f>
        <v>29837.94</v>
      </c>
    </row>
    <row r="122" spans="1:20" x14ac:dyDescent="0.25">
      <c r="A122">
        <v>67940</v>
      </c>
      <c r="B122" t="s">
        <v>42</v>
      </c>
      <c r="C122" t="s">
        <v>35</v>
      </c>
      <c r="D122" s="11">
        <v>2031</v>
      </c>
      <c r="E122">
        <v>10.66</v>
      </c>
      <c r="F122">
        <v>14</v>
      </c>
      <c r="G122">
        <f t="shared" si="7"/>
        <v>28434</v>
      </c>
      <c r="H122" t="s">
        <v>72</v>
      </c>
      <c r="J122" s="9">
        <v>45201</v>
      </c>
      <c r="K122" t="s">
        <v>39</v>
      </c>
      <c r="L122" t="s">
        <v>28</v>
      </c>
      <c r="M122" t="str">
        <f t="shared" si="8"/>
        <v>Private Industry</v>
      </c>
      <c r="N122" t="str">
        <f t="shared" si="9"/>
        <v>Large Order</v>
      </c>
      <c r="O122">
        <f t="shared" si="10"/>
        <v>0</v>
      </c>
      <c r="P122">
        <f t="shared" si="11"/>
        <v>0</v>
      </c>
      <c r="Q122" t="b">
        <f t="shared" si="12"/>
        <v>0</v>
      </c>
      <c r="R122">
        <f t="shared" si="13"/>
        <v>0</v>
      </c>
      <c r="S122" s="14">
        <f>_xlfn.XLOOKUP(B122,Summary!$C$10:$C$15,Summary!$B$10:$B$15)</f>
        <v>0.24</v>
      </c>
      <c r="T122">
        <f>IF(AND(H122="Yes",L122&lt;&gt;"Government"),G122*(_xlfn.XLOOKUP(B122,Summary!$C$10:$C$15,Summary!$B$10:$B$15)),0)</f>
        <v>0</v>
      </c>
    </row>
    <row r="123" spans="1:20" x14ac:dyDescent="0.25">
      <c r="A123">
        <v>76710</v>
      </c>
      <c r="B123" t="s">
        <v>27</v>
      </c>
      <c r="C123" t="s">
        <v>30</v>
      </c>
      <c r="D123" s="11">
        <v>1797</v>
      </c>
      <c r="E123">
        <v>5.53</v>
      </c>
      <c r="F123">
        <v>7</v>
      </c>
      <c r="G123">
        <f t="shared" si="7"/>
        <v>12579</v>
      </c>
      <c r="H123" t="s">
        <v>72</v>
      </c>
      <c r="J123" s="9">
        <v>45649</v>
      </c>
      <c r="K123" t="s">
        <v>39</v>
      </c>
      <c r="L123" t="s">
        <v>24</v>
      </c>
      <c r="M123" t="str">
        <f t="shared" si="8"/>
        <v>Public Sector</v>
      </c>
      <c r="N123" t="str">
        <f t="shared" si="9"/>
        <v>Large Order</v>
      </c>
      <c r="O123">
        <f t="shared" si="10"/>
        <v>0</v>
      </c>
      <c r="P123">
        <f t="shared" si="11"/>
        <v>0</v>
      </c>
      <c r="Q123" t="b">
        <f t="shared" si="12"/>
        <v>0</v>
      </c>
      <c r="R123">
        <f t="shared" si="13"/>
        <v>0</v>
      </c>
      <c r="S123" s="14">
        <f>_xlfn.XLOOKUP(B123,Summary!$C$10:$C$15,Summary!$B$10:$B$15)</f>
        <v>0.19</v>
      </c>
      <c r="T123">
        <f>IF(AND(H123="Yes",L123&lt;&gt;"Government"),G123*(_xlfn.XLOOKUP(B123,Summary!$C$10:$C$15,Summary!$B$10:$B$15)),0)</f>
        <v>0</v>
      </c>
    </row>
    <row r="124" spans="1:20" x14ac:dyDescent="0.25">
      <c r="A124">
        <v>83010</v>
      </c>
      <c r="B124" t="s">
        <v>44</v>
      </c>
      <c r="C124" t="s">
        <v>36</v>
      </c>
      <c r="D124" s="11">
        <v>2632</v>
      </c>
      <c r="E124">
        <v>120.47</v>
      </c>
      <c r="F124">
        <v>180</v>
      </c>
      <c r="G124">
        <f t="shared" si="7"/>
        <v>473760</v>
      </c>
      <c r="H124" t="s">
        <v>71</v>
      </c>
      <c r="J124" s="9">
        <v>45618</v>
      </c>
      <c r="K124" t="s">
        <v>41</v>
      </c>
      <c r="L124" t="s">
        <v>24</v>
      </c>
      <c r="M124" t="str">
        <f t="shared" si="8"/>
        <v>Public Sector</v>
      </c>
      <c r="N124" t="str">
        <f t="shared" si="9"/>
        <v>Large Order</v>
      </c>
      <c r="O124">
        <f t="shared" si="10"/>
        <v>108964.8</v>
      </c>
      <c r="P124">
        <f t="shared" si="11"/>
        <v>0</v>
      </c>
      <c r="Q124" t="b">
        <f t="shared" si="12"/>
        <v>0</v>
      </c>
      <c r="R124">
        <f t="shared" si="13"/>
        <v>0</v>
      </c>
      <c r="S124" s="14">
        <f>_xlfn.XLOOKUP(B124,Summary!$C$10:$C$15,Summary!$B$10:$B$15)</f>
        <v>0.2</v>
      </c>
      <c r="T124">
        <f>IF(AND(H124="Yes",L124&lt;&gt;"Government"),G124*(_xlfn.XLOOKUP(B124,Summary!$C$10:$C$15,Summary!$B$10:$B$15)),0)</f>
        <v>0</v>
      </c>
    </row>
    <row r="125" spans="1:20" x14ac:dyDescent="0.25">
      <c r="A125">
        <v>57751</v>
      </c>
      <c r="B125" t="s">
        <v>29</v>
      </c>
      <c r="C125" t="s">
        <v>30</v>
      </c>
      <c r="D125" s="11">
        <v>2181</v>
      </c>
      <c r="E125">
        <v>5.5600000000000005</v>
      </c>
      <c r="F125">
        <v>6</v>
      </c>
      <c r="G125">
        <f t="shared" si="7"/>
        <v>13086</v>
      </c>
      <c r="H125" t="s">
        <v>72</v>
      </c>
      <c r="J125" s="9">
        <v>45683</v>
      </c>
      <c r="K125" t="s">
        <v>40</v>
      </c>
      <c r="L125" t="s">
        <v>34</v>
      </c>
      <c r="M125" t="str">
        <f t="shared" si="8"/>
        <v>Private Industry</v>
      </c>
      <c r="N125" t="str">
        <f t="shared" si="9"/>
        <v>Large Order</v>
      </c>
      <c r="O125">
        <f t="shared" si="10"/>
        <v>0</v>
      </c>
      <c r="P125">
        <f t="shared" si="11"/>
        <v>0</v>
      </c>
      <c r="Q125" t="b">
        <f t="shared" si="12"/>
        <v>0</v>
      </c>
      <c r="R125">
        <f t="shared" si="13"/>
        <v>0</v>
      </c>
      <c r="S125" s="14">
        <f>_xlfn.XLOOKUP(B125,Summary!$C$10:$C$15,Summary!$B$10:$B$15)</f>
        <v>0.22</v>
      </c>
      <c r="T125">
        <f>IF(AND(H125="Yes",L125&lt;&gt;"Government"),G125*(_xlfn.XLOOKUP(B125,Summary!$C$10:$C$15,Summary!$B$10:$B$15)),0)</f>
        <v>0</v>
      </c>
    </row>
    <row r="126" spans="1:20" x14ac:dyDescent="0.25">
      <c r="A126">
        <v>43178</v>
      </c>
      <c r="B126" t="s">
        <v>42</v>
      </c>
      <c r="C126" t="s">
        <v>38</v>
      </c>
      <c r="D126" s="11">
        <v>2157</v>
      </c>
      <c r="E126">
        <v>260.45999999999998</v>
      </c>
      <c r="F126">
        <v>347</v>
      </c>
      <c r="G126">
        <f t="shared" si="7"/>
        <v>748479</v>
      </c>
      <c r="H126" t="s">
        <v>72</v>
      </c>
      <c r="J126" s="9">
        <v>45083</v>
      </c>
      <c r="K126" t="s">
        <v>41</v>
      </c>
      <c r="L126" t="s">
        <v>28</v>
      </c>
      <c r="M126" t="str">
        <f t="shared" si="8"/>
        <v>Private Industry</v>
      </c>
      <c r="N126" t="str">
        <f t="shared" si="9"/>
        <v>Large Order</v>
      </c>
      <c r="O126">
        <f t="shared" si="10"/>
        <v>0</v>
      </c>
      <c r="P126">
        <f t="shared" si="11"/>
        <v>0</v>
      </c>
      <c r="Q126" t="b">
        <f t="shared" si="12"/>
        <v>0</v>
      </c>
      <c r="R126">
        <f t="shared" si="13"/>
        <v>0</v>
      </c>
      <c r="S126" s="14">
        <f>_xlfn.XLOOKUP(B126,Summary!$C$10:$C$15,Summary!$B$10:$B$15)</f>
        <v>0.24</v>
      </c>
      <c r="T126">
        <f>IF(AND(H126="Yes",L126&lt;&gt;"Government"),G126*(_xlfn.XLOOKUP(B126,Summary!$C$10:$C$15,Summary!$B$10:$B$15)),0)</f>
        <v>0</v>
      </c>
    </row>
    <row r="127" spans="1:20" x14ac:dyDescent="0.25">
      <c r="A127">
        <v>66223</v>
      </c>
      <c r="B127" t="s">
        <v>29</v>
      </c>
      <c r="C127" t="s">
        <v>30</v>
      </c>
      <c r="D127" s="11">
        <v>1186</v>
      </c>
      <c r="E127">
        <v>5.48</v>
      </c>
      <c r="F127">
        <v>6</v>
      </c>
      <c r="G127">
        <f t="shared" si="7"/>
        <v>7116</v>
      </c>
      <c r="H127" t="s">
        <v>71</v>
      </c>
      <c r="J127" s="9">
        <v>45729</v>
      </c>
      <c r="K127" t="s">
        <v>41</v>
      </c>
      <c r="L127" t="s">
        <v>34</v>
      </c>
      <c r="M127" t="str">
        <f t="shared" si="8"/>
        <v>Private Industry</v>
      </c>
      <c r="N127" t="str">
        <f t="shared" si="9"/>
        <v>Small Order</v>
      </c>
      <c r="O127">
        <f t="shared" si="10"/>
        <v>1636.68</v>
      </c>
      <c r="P127">
        <f t="shared" si="11"/>
        <v>1636.68</v>
      </c>
      <c r="Q127" t="b">
        <f t="shared" si="12"/>
        <v>1</v>
      </c>
      <c r="R127">
        <f t="shared" si="13"/>
        <v>1636.68</v>
      </c>
      <c r="S127" s="14">
        <f>_xlfn.XLOOKUP(B127,Summary!$C$10:$C$15,Summary!$B$10:$B$15)</f>
        <v>0.22</v>
      </c>
      <c r="T127">
        <f>IF(AND(H127="Yes",L127&lt;&gt;"Government"),G127*(_xlfn.XLOOKUP(B127,Summary!$C$10:$C$15,Summary!$B$10:$B$15)),0)</f>
        <v>1565.52</v>
      </c>
    </row>
    <row r="128" spans="1:20" x14ac:dyDescent="0.25">
      <c r="A128">
        <v>11942</v>
      </c>
      <c r="B128" t="s">
        <v>27</v>
      </c>
      <c r="C128" t="s">
        <v>36</v>
      </c>
      <c r="D128" s="11">
        <v>1013</v>
      </c>
      <c r="E128">
        <v>120.99</v>
      </c>
      <c r="F128">
        <v>130</v>
      </c>
      <c r="G128">
        <f t="shared" si="7"/>
        <v>131690</v>
      </c>
      <c r="H128" t="s">
        <v>71</v>
      </c>
      <c r="J128" s="9">
        <v>45114</v>
      </c>
      <c r="K128" t="s">
        <v>41</v>
      </c>
      <c r="L128" t="s">
        <v>31</v>
      </c>
      <c r="M128" t="str">
        <f t="shared" si="8"/>
        <v>Private Industry</v>
      </c>
      <c r="N128" t="str">
        <f t="shared" si="9"/>
        <v>Small Order</v>
      </c>
      <c r="O128">
        <f t="shared" si="10"/>
        <v>30288.7</v>
      </c>
      <c r="P128">
        <f t="shared" si="11"/>
        <v>30288.7</v>
      </c>
      <c r="Q128" t="b">
        <f t="shared" si="12"/>
        <v>1</v>
      </c>
      <c r="R128">
        <f t="shared" si="13"/>
        <v>30288.7</v>
      </c>
      <c r="S128" s="14">
        <f>_xlfn.XLOOKUP(B128,Summary!$C$10:$C$15,Summary!$B$10:$B$15)</f>
        <v>0.19</v>
      </c>
      <c r="T128">
        <f>IF(AND(H128="Yes",L128&lt;&gt;"Government"),G128*(_xlfn.XLOOKUP(B128,Summary!$C$10:$C$15,Summary!$B$10:$B$15)),0)</f>
        <v>25021.1</v>
      </c>
    </row>
    <row r="129" spans="1:20" x14ac:dyDescent="0.25">
      <c r="A129">
        <v>21885</v>
      </c>
      <c r="B129" t="s">
        <v>42</v>
      </c>
      <c r="C129" t="s">
        <v>25</v>
      </c>
      <c r="D129" s="11">
        <v>494</v>
      </c>
      <c r="E129">
        <v>3.8</v>
      </c>
      <c r="F129">
        <v>5</v>
      </c>
      <c r="G129">
        <f t="shared" si="7"/>
        <v>2470</v>
      </c>
      <c r="H129" t="s">
        <v>72</v>
      </c>
      <c r="J129" s="9">
        <v>45144</v>
      </c>
      <c r="K129" t="s">
        <v>39</v>
      </c>
      <c r="L129" t="s">
        <v>34</v>
      </c>
      <c r="M129" t="str">
        <f t="shared" si="8"/>
        <v>Private Industry</v>
      </c>
      <c r="N129" t="str">
        <f t="shared" si="9"/>
        <v>Small Order</v>
      </c>
      <c r="O129">
        <f t="shared" si="10"/>
        <v>0</v>
      </c>
      <c r="P129">
        <f t="shared" si="11"/>
        <v>0</v>
      </c>
      <c r="Q129" t="b">
        <f t="shared" si="12"/>
        <v>0</v>
      </c>
      <c r="R129">
        <f t="shared" si="13"/>
        <v>0</v>
      </c>
      <c r="S129" s="14">
        <f>_xlfn.XLOOKUP(B129,Summary!$C$10:$C$15,Summary!$B$10:$B$15)</f>
        <v>0.24</v>
      </c>
      <c r="T129">
        <f>IF(AND(H129="Yes",L129&lt;&gt;"Government"),G129*(_xlfn.XLOOKUP(B129,Summary!$C$10:$C$15,Summary!$B$10:$B$15)),0)</f>
        <v>0</v>
      </c>
    </row>
    <row r="130" spans="1:20" x14ac:dyDescent="0.25">
      <c r="A130">
        <v>93505</v>
      </c>
      <c r="B130" t="s">
        <v>29</v>
      </c>
      <c r="C130" t="s">
        <v>37</v>
      </c>
      <c r="D130" s="11">
        <v>1734</v>
      </c>
      <c r="E130">
        <v>250.83</v>
      </c>
      <c r="F130">
        <v>279</v>
      </c>
      <c r="G130">
        <f t="shared" si="7"/>
        <v>483786</v>
      </c>
      <c r="H130" t="s">
        <v>71</v>
      </c>
      <c r="J130" s="9">
        <v>45317</v>
      </c>
      <c r="K130" t="s">
        <v>41</v>
      </c>
      <c r="L130" t="s">
        <v>31</v>
      </c>
      <c r="M130" t="str">
        <f t="shared" si="8"/>
        <v>Private Industry</v>
      </c>
      <c r="N130" t="str">
        <f t="shared" si="9"/>
        <v>Large Order</v>
      </c>
      <c r="O130">
        <f t="shared" si="10"/>
        <v>111270.78</v>
      </c>
      <c r="P130">
        <f t="shared" si="11"/>
        <v>111270.78</v>
      </c>
      <c r="Q130" t="b">
        <f t="shared" si="12"/>
        <v>1</v>
      </c>
      <c r="R130">
        <f t="shared" si="13"/>
        <v>111270.78</v>
      </c>
      <c r="S130" s="14">
        <f>_xlfn.XLOOKUP(B130,Summary!$C$10:$C$15,Summary!$B$10:$B$15)</f>
        <v>0.22</v>
      </c>
      <c r="T130">
        <f>IF(AND(H130="Yes",L130&lt;&gt;"Government"),G130*(_xlfn.XLOOKUP(B130,Summary!$C$10:$C$15,Summary!$B$10:$B$15)),0)</f>
        <v>106432.92</v>
      </c>
    </row>
    <row r="131" spans="1:20" x14ac:dyDescent="0.25">
      <c r="A131">
        <v>81264</v>
      </c>
      <c r="B131" t="s">
        <v>29</v>
      </c>
      <c r="C131" t="s">
        <v>37</v>
      </c>
      <c r="D131" s="11">
        <v>2167</v>
      </c>
      <c r="E131">
        <v>250.63</v>
      </c>
      <c r="F131">
        <v>251</v>
      </c>
      <c r="G131">
        <f t="shared" ref="G131:G194" si="14">D131*F131</f>
        <v>543917</v>
      </c>
      <c r="H131" t="s">
        <v>71</v>
      </c>
      <c r="J131" s="9">
        <v>45170</v>
      </c>
      <c r="K131" t="s">
        <v>41</v>
      </c>
      <c r="L131" t="s">
        <v>28</v>
      </c>
      <c r="M131" t="str">
        <f t="shared" ref="M131:M194" si="15">IF(L131="Government","Public Sector","Private Industry")</f>
        <v>Private Industry</v>
      </c>
      <c r="N131" t="str">
        <f t="shared" ref="N131:N194" si="16">IF(D131&gt;1500,"Large Order","Small Order")</f>
        <v>Large Order</v>
      </c>
      <c r="O131">
        <f t="shared" ref="O131:O194" si="17">IF(H131="Yes",G131*0.23,0)</f>
        <v>125100.91</v>
      </c>
      <c r="P131">
        <f t="shared" ref="P131:P194" si="18">IF(Q131,G131*0.23,0)</f>
        <v>125100.91</v>
      </c>
      <c r="Q131" t="b">
        <f t="shared" ref="Q131:Q194" si="19">AND(H131="Yes",L131&lt;&gt;"Government")</f>
        <v>1</v>
      </c>
      <c r="R131">
        <f t="shared" ref="R131:R194" si="20">IF(AND(H131="Yes",L131&lt;&gt;"Government"),G131*0.23,0)</f>
        <v>125100.91</v>
      </c>
      <c r="S131" s="14">
        <f>_xlfn.XLOOKUP(B131,Summary!$C$10:$C$15,Summary!$B$10:$B$15)</f>
        <v>0.22</v>
      </c>
      <c r="T131">
        <f>IF(AND(H131="Yes",L131&lt;&gt;"Government"),G131*(_xlfn.XLOOKUP(B131,Summary!$C$10:$C$15,Summary!$B$10:$B$15)),0)</f>
        <v>119661.74</v>
      </c>
    </row>
    <row r="132" spans="1:20" x14ac:dyDescent="0.25">
      <c r="A132">
        <v>88127</v>
      </c>
      <c r="B132" t="s">
        <v>27</v>
      </c>
      <c r="C132" t="s">
        <v>25</v>
      </c>
      <c r="D132" s="11">
        <v>887</v>
      </c>
      <c r="E132">
        <v>3.2800000000000002</v>
      </c>
      <c r="F132">
        <v>5</v>
      </c>
      <c r="G132">
        <f t="shared" si="14"/>
        <v>4435</v>
      </c>
      <c r="H132" t="s">
        <v>72</v>
      </c>
      <c r="J132" s="9">
        <v>45193</v>
      </c>
      <c r="K132" t="s">
        <v>40</v>
      </c>
      <c r="L132" t="s">
        <v>33</v>
      </c>
      <c r="M132" t="str">
        <f t="shared" si="15"/>
        <v>Private Industry</v>
      </c>
      <c r="N132" t="str">
        <f t="shared" si="16"/>
        <v>Small Order</v>
      </c>
      <c r="O132">
        <f t="shared" si="17"/>
        <v>0</v>
      </c>
      <c r="P132">
        <f t="shared" si="18"/>
        <v>0</v>
      </c>
      <c r="Q132" t="b">
        <f t="shared" si="19"/>
        <v>0</v>
      </c>
      <c r="R132">
        <f t="shared" si="20"/>
        <v>0</v>
      </c>
      <c r="S132" s="14">
        <f>_xlfn.XLOOKUP(B132,Summary!$C$10:$C$15,Summary!$B$10:$B$15)</f>
        <v>0.19</v>
      </c>
      <c r="T132">
        <f>IF(AND(H132="Yes",L132&lt;&gt;"Government"),G132*(_xlfn.XLOOKUP(B132,Summary!$C$10:$C$15,Summary!$B$10:$B$15)),0)</f>
        <v>0</v>
      </c>
    </row>
    <row r="133" spans="1:20" x14ac:dyDescent="0.25">
      <c r="A133">
        <v>71189</v>
      </c>
      <c r="B133" t="s">
        <v>43</v>
      </c>
      <c r="C133" t="s">
        <v>37</v>
      </c>
      <c r="D133" s="11">
        <v>2807</v>
      </c>
      <c r="E133">
        <v>250.99</v>
      </c>
      <c r="F133">
        <v>284</v>
      </c>
      <c r="G133">
        <f t="shared" si="14"/>
        <v>797188</v>
      </c>
      <c r="H133" t="s">
        <v>72</v>
      </c>
      <c r="J133" s="9">
        <v>45697</v>
      </c>
      <c r="K133" t="s">
        <v>41</v>
      </c>
      <c r="L133" t="s">
        <v>24</v>
      </c>
      <c r="M133" t="str">
        <f t="shared" si="15"/>
        <v>Public Sector</v>
      </c>
      <c r="N133" t="str">
        <f t="shared" si="16"/>
        <v>Large Order</v>
      </c>
      <c r="O133">
        <f t="shared" si="17"/>
        <v>0</v>
      </c>
      <c r="P133">
        <f t="shared" si="18"/>
        <v>0</v>
      </c>
      <c r="Q133" t="b">
        <f t="shared" si="19"/>
        <v>0</v>
      </c>
      <c r="R133">
        <f t="shared" si="20"/>
        <v>0</v>
      </c>
      <c r="S133" s="14">
        <f>_xlfn.XLOOKUP(B133,Summary!$C$10:$C$15,Summary!$B$10:$B$15)</f>
        <v>0.21</v>
      </c>
      <c r="T133">
        <f>IF(AND(H133="Yes",L133&lt;&gt;"Government"),G133*(_xlfn.XLOOKUP(B133,Summary!$C$10:$C$15,Summary!$B$10:$B$15)),0)</f>
        <v>0</v>
      </c>
    </row>
    <row r="134" spans="1:20" x14ac:dyDescent="0.25">
      <c r="A134">
        <v>86432</v>
      </c>
      <c r="B134" t="s">
        <v>43</v>
      </c>
      <c r="C134" t="s">
        <v>35</v>
      </c>
      <c r="D134" s="11">
        <v>1366</v>
      </c>
      <c r="E134">
        <v>10.86</v>
      </c>
      <c r="F134">
        <v>12</v>
      </c>
      <c r="G134">
        <f t="shared" si="14"/>
        <v>16392</v>
      </c>
      <c r="H134" t="s">
        <v>71</v>
      </c>
      <c r="J134" s="9">
        <v>45481</v>
      </c>
      <c r="K134" t="s">
        <v>41</v>
      </c>
      <c r="L134" t="s">
        <v>34</v>
      </c>
      <c r="M134" t="str">
        <f t="shared" si="15"/>
        <v>Private Industry</v>
      </c>
      <c r="N134" t="str">
        <f t="shared" si="16"/>
        <v>Small Order</v>
      </c>
      <c r="O134">
        <f t="shared" si="17"/>
        <v>3770.1600000000003</v>
      </c>
      <c r="P134">
        <f t="shared" si="18"/>
        <v>3770.1600000000003</v>
      </c>
      <c r="Q134" t="b">
        <f t="shared" si="19"/>
        <v>1</v>
      </c>
      <c r="R134">
        <f t="shared" si="20"/>
        <v>3770.1600000000003</v>
      </c>
      <c r="S134" s="14">
        <f>_xlfn.XLOOKUP(B134,Summary!$C$10:$C$15,Summary!$B$10:$B$15)</f>
        <v>0.21</v>
      </c>
      <c r="T134">
        <f>IF(AND(H134="Yes",L134&lt;&gt;"Government"),G134*(_xlfn.XLOOKUP(B134,Summary!$C$10:$C$15,Summary!$B$10:$B$15)),0)</f>
        <v>3442.3199999999997</v>
      </c>
    </row>
    <row r="135" spans="1:20" x14ac:dyDescent="0.25">
      <c r="A135">
        <v>79925</v>
      </c>
      <c r="B135" t="s">
        <v>43</v>
      </c>
      <c r="C135" t="s">
        <v>30</v>
      </c>
      <c r="D135" s="11">
        <v>1562</v>
      </c>
      <c r="E135">
        <v>5.7</v>
      </c>
      <c r="F135">
        <v>7</v>
      </c>
      <c r="G135">
        <f t="shared" si="14"/>
        <v>10934</v>
      </c>
      <c r="H135" t="s">
        <v>71</v>
      </c>
      <c r="J135" s="9">
        <v>45279</v>
      </c>
      <c r="K135" t="s">
        <v>40</v>
      </c>
      <c r="L135" t="s">
        <v>34</v>
      </c>
      <c r="M135" t="str">
        <f t="shared" si="15"/>
        <v>Private Industry</v>
      </c>
      <c r="N135" t="str">
        <f t="shared" si="16"/>
        <v>Large Order</v>
      </c>
      <c r="O135">
        <f t="shared" si="17"/>
        <v>2514.8200000000002</v>
      </c>
      <c r="P135">
        <f t="shared" si="18"/>
        <v>2514.8200000000002</v>
      </c>
      <c r="Q135" t="b">
        <f t="shared" si="19"/>
        <v>1</v>
      </c>
      <c r="R135">
        <f t="shared" si="20"/>
        <v>2514.8200000000002</v>
      </c>
      <c r="S135" s="14">
        <f>_xlfn.XLOOKUP(B135,Summary!$C$10:$C$15,Summary!$B$10:$B$15)</f>
        <v>0.21</v>
      </c>
      <c r="T135">
        <f>IF(AND(H135="Yes",L135&lt;&gt;"Government"),G135*(_xlfn.XLOOKUP(B135,Summary!$C$10:$C$15,Summary!$B$10:$B$15)),0)</f>
        <v>2296.14</v>
      </c>
    </row>
    <row r="136" spans="1:20" x14ac:dyDescent="0.25">
      <c r="A136">
        <v>57071</v>
      </c>
      <c r="B136" t="s">
        <v>44</v>
      </c>
      <c r="C136" t="s">
        <v>25</v>
      </c>
      <c r="D136" s="11">
        <v>2844</v>
      </c>
      <c r="E136">
        <v>3.25</v>
      </c>
      <c r="F136">
        <v>5</v>
      </c>
      <c r="G136">
        <f t="shared" si="14"/>
        <v>14220</v>
      </c>
      <c r="H136" t="s">
        <v>71</v>
      </c>
      <c r="J136" s="9">
        <v>45112</v>
      </c>
      <c r="K136" t="s">
        <v>40</v>
      </c>
      <c r="L136" t="s">
        <v>28</v>
      </c>
      <c r="M136" t="str">
        <f t="shared" si="15"/>
        <v>Private Industry</v>
      </c>
      <c r="N136" t="str">
        <f t="shared" si="16"/>
        <v>Large Order</v>
      </c>
      <c r="O136">
        <f t="shared" si="17"/>
        <v>3270.6000000000004</v>
      </c>
      <c r="P136">
        <f t="shared" si="18"/>
        <v>3270.6000000000004</v>
      </c>
      <c r="Q136" t="b">
        <f t="shared" si="19"/>
        <v>1</v>
      </c>
      <c r="R136">
        <f t="shared" si="20"/>
        <v>3270.6000000000004</v>
      </c>
      <c r="S136" s="14">
        <f>_xlfn.XLOOKUP(B136,Summary!$C$10:$C$15,Summary!$B$10:$B$15)</f>
        <v>0.2</v>
      </c>
      <c r="T136">
        <f>IF(AND(H136="Yes",L136&lt;&gt;"Government"),G136*(_xlfn.XLOOKUP(B136,Summary!$C$10:$C$15,Summary!$B$10:$B$15)),0)</f>
        <v>2844</v>
      </c>
    </row>
    <row r="137" spans="1:20" x14ac:dyDescent="0.25">
      <c r="A137">
        <v>38315</v>
      </c>
      <c r="B137" t="s">
        <v>44</v>
      </c>
      <c r="C137" t="s">
        <v>30</v>
      </c>
      <c r="D137" s="11">
        <v>708</v>
      </c>
      <c r="E137">
        <v>5.24</v>
      </c>
      <c r="F137">
        <v>7</v>
      </c>
      <c r="G137">
        <f t="shared" si="14"/>
        <v>4956</v>
      </c>
      <c r="H137" t="s">
        <v>71</v>
      </c>
      <c r="J137" s="9">
        <v>45430</v>
      </c>
      <c r="K137" t="s">
        <v>40</v>
      </c>
      <c r="L137" t="s">
        <v>24</v>
      </c>
      <c r="M137" t="str">
        <f t="shared" si="15"/>
        <v>Public Sector</v>
      </c>
      <c r="N137" t="str">
        <f t="shared" si="16"/>
        <v>Small Order</v>
      </c>
      <c r="O137">
        <f t="shared" si="17"/>
        <v>1139.8800000000001</v>
      </c>
      <c r="P137">
        <f t="shared" si="18"/>
        <v>0</v>
      </c>
      <c r="Q137" t="b">
        <f t="shared" si="19"/>
        <v>0</v>
      </c>
      <c r="R137">
        <f t="shared" si="20"/>
        <v>0</v>
      </c>
      <c r="S137" s="14">
        <f>_xlfn.XLOOKUP(B137,Summary!$C$10:$C$15,Summary!$B$10:$B$15)</f>
        <v>0.2</v>
      </c>
      <c r="T137">
        <f>IF(AND(H137="Yes",L137&lt;&gt;"Government"),G137*(_xlfn.XLOOKUP(B137,Summary!$C$10:$C$15,Summary!$B$10:$B$15)),0)</f>
        <v>0</v>
      </c>
    </row>
    <row r="138" spans="1:20" x14ac:dyDescent="0.25">
      <c r="A138">
        <v>94292</v>
      </c>
      <c r="B138" t="s">
        <v>42</v>
      </c>
      <c r="C138" t="s">
        <v>38</v>
      </c>
      <c r="D138" s="11">
        <v>635</v>
      </c>
      <c r="E138">
        <v>260.39</v>
      </c>
      <c r="F138">
        <v>321</v>
      </c>
      <c r="G138">
        <f t="shared" si="14"/>
        <v>203835</v>
      </c>
      <c r="H138" t="s">
        <v>72</v>
      </c>
      <c r="J138" s="9">
        <v>45070</v>
      </c>
      <c r="K138" t="s">
        <v>40</v>
      </c>
      <c r="L138" t="s">
        <v>34</v>
      </c>
      <c r="M138" t="str">
        <f t="shared" si="15"/>
        <v>Private Industry</v>
      </c>
      <c r="N138" t="str">
        <f t="shared" si="16"/>
        <v>Small Order</v>
      </c>
      <c r="O138">
        <f t="shared" si="17"/>
        <v>0</v>
      </c>
      <c r="P138">
        <f t="shared" si="18"/>
        <v>0</v>
      </c>
      <c r="Q138" t="b">
        <f t="shared" si="19"/>
        <v>0</v>
      </c>
      <c r="R138">
        <f t="shared" si="20"/>
        <v>0</v>
      </c>
      <c r="S138" s="14">
        <f>_xlfn.XLOOKUP(B138,Summary!$C$10:$C$15,Summary!$B$10:$B$15)</f>
        <v>0.24</v>
      </c>
      <c r="T138">
        <f>IF(AND(H138="Yes",L138&lt;&gt;"Government"),G138*(_xlfn.XLOOKUP(B138,Summary!$C$10:$C$15,Summary!$B$10:$B$15)),0)</f>
        <v>0</v>
      </c>
    </row>
    <row r="139" spans="1:20" x14ac:dyDescent="0.25">
      <c r="A139">
        <v>14101</v>
      </c>
      <c r="B139" t="s">
        <v>43</v>
      </c>
      <c r="C139" t="s">
        <v>36</v>
      </c>
      <c r="D139" s="11">
        <v>547</v>
      </c>
      <c r="E139">
        <v>120.46</v>
      </c>
      <c r="F139">
        <v>146</v>
      </c>
      <c r="G139">
        <f t="shared" si="14"/>
        <v>79862</v>
      </c>
      <c r="H139" t="s">
        <v>71</v>
      </c>
      <c r="J139" s="9">
        <v>45150</v>
      </c>
      <c r="K139" t="s">
        <v>40</v>
      </c>
      <c r="L139" t="s">
        <v>24</v>
      </c>
      <c r="M139" t="str">
        <f t="shared" si="15"/>
        <v>Public Sector</v>
      </c>
      <c r="N139" t="str">
        <f t="shared" si="16"/>
        <v>Small Order</v>
      </c>
      <c r="O139">
        <f t="shared" si="17"/>
        <v>18368.260000000002</v>
      </c>
      <c r="P139">
        <f t="shared" si="18"/>
        <v>0</v>
      </c>
      <c r="Q139" t="b">
        <f t="shared" si="19"/>
        <v>0</v>
      </c>
      <c r="R139">
        <f t="shared" si="20"/>
        <v>0</v>
      </c>
      <c r="S139" s="14">
        <f>_xlfn.XLOOKUP(B139,Summary!$C$10:$C$15,Summary!$B$10:$B$15)</f>
        <v>0.21</v>
      </c>
      <c r="T139">
        <f>IF(AND(H139="Yes",L139&lt;&gt;"Government"),G139*(_xlfn.XLOOKUP(B139,Summary!$C$10:$C$15,Summary!$B$10:$B$15)),0)</f>
        <v>0</v>
      </c>
    </row>
    <row r="140" spans="1:20" x14ac:dyDescent="0.25">
      <c r="A140">
        <v>78244</v>
      </c>
      <c r="B140" t="s">
        <v>42</v>
      </c>
      <c r="C140" t="s">
        <v>36</v>
      </c>
      <c r="D140" s="11">
        <v>861</v>
      </c>
      <c r="E140">
        <v>120.09</v>
      </c>
      <c r="F140">
        <v>163</v>
      </c>
      <c r="G140">
        <f t="shared" si="14"/>
        <v>140343</v>
      </c>
      <c r="H140" t="s">
        <v>71</v>
      </c>
      <c r="J140" s="9">
        <v>45398</v>
      </c>
      <c r="K140" t="s">
        <v>40</v>
      </c>
      <c r="L140" t="s">
        <v>33</v>
      </c>
      <c r="M140" t="str">
        <f t="shared" si="15"/>
        <v>Private Industry</v>
      </c>
      <c r="N140" t="str">
        <f t="shared" si="16"/>
        <v>Small Order</v>
      </c>
      <c r="O140">
        <f t="shared" si="17"/>
        <v>32278.890000000003</v>
      </c>
      <c r="P140">
        <f t="shared" si="18"/>
        <v>32278.890000000003</v>
      </c>
      <c r="Q140" t="b">
        <f t="shared" si="19"/>
        <v>1</v>
      </c>
      <c r="R140">
        <f t="shared" si="20"/>
        <v>32278.890000000003</v>
      </c>
      <c r="S140" s="14">
        <f>_xlfn.XLOOKUP(B140,Summary!$C$10:$C$15,Summary!$B$10:$B$15)</f>
        <v>0.24</v>
      </c>
      <c r="T140">
        <f>IF(AND(H140="Yes",L140&lt;&gt;"Government"),G140*(_xlfn.XLOOKUP(B140,Summary!$C$10:$C$15,Summary!$B$10:$B$15)),0)</f>
        <v>33682.32</v>
      </c>
    </row>
    <row r="141" spans="1:20" x14ac:dyDescent="0.25">
      <c r="A141">
        <v>48811</v>
      </c>
      <c r="B141" t="s">
        <v>32</v>
      </c>
      <c r="C141" t="s">
        <v>35</v>
      </c>
      <c r="D141" s="11">
        <v>2296</v>
      </c>
      <c r="E141">
        <v>10.86</v>
      </c>
      <c r="F141">
        <v>13</v>
      </c>
      <c r="G141">
        <f t="shared" si="14"/>
        <v>29848</v>
      </c>
      <c r="H141" t="s">
        <v>72</v>
      </c>
      <c r="J141" s="9">
        <v>45687</v>
      </c>
      <c r="K141" t="s">
        <v>39</v>
      </c>
      <c r="L141" t="s">
        <v>28</v>
      </c>
      <c r="M141" t="str">
        <f t="shared" si="15"/>
        <v>Private Industry</v>
      </c>
      <c r="N141" t="str">
        <f t="shared" si="16"/>
        <v>Large Order</v>
      </c>
      <c r="O141">
        <f t="shared" si="17"/>
        <v>0</v>
      </c>
      <c r="P141">
        <f t="shared" si="18"/>
        <v>0</v>
      </c>
      <c r="Q141" t="b">
        <f t="shared" si="19"/>
        <v>0</v>
      </c>
      <c r="R141">
        <f t="shared" si="20"/>
        <v>0</v>
      </c>
      <c r="S141" s="14">
        <f>_xlfn.XLOOKUP(B141,Summary!$C$10:$C$15,Summary!$B$10:$B$15)</f>
        <v>0.23</v>
      </c>
      <c r="T141">
        <f>IF(AND(H141="Yes",L141&lt;&gt;"Government"),G141*(_xlfn.XLOOKUP(B141,Summary!$C$10:$C$15,Summary!$B$10:$B$15)),0)</f>
        <v>0</v>
      </c>
    </row>
    <row r="142" spans="1:20" x14ac:dyDescent="0.25">
      <c r="A142">
        <v>55415</v>
      </c>
      <c r="B142" t="s">
        <v>43</v>
      </c>
      <c r="C142" t="s">
        <v>35</v>
      </c>
      <c r="D142" s="11">
        <v>2914</v>
      </c>
      <c r="E142">
        <v>10.91</v>
      </c>
      <c r="F142">
        <v>14</v>
      </c>
      <c r="G142">
        <f t="shared" si="14"/>
        <v>40796</v>
      </c>
      <c r="H142" t="s">
        <v>72</v>
      </c>
      <c r="J142" s="9">
        <v>45101</v>
      </c>
      <c r="K142" t="s">
        <v>41</v>
      </c>
      <c r="L142" t="s">
        <v>31</v>
      </c>
      <c r="M142" t="str">
        <f t="shared" si="15"/>
        <v>Private Industry</v>
      </c>
      <c r="N142" t="str">
        <f t="shared" si="16"/>
        <v>Large Order</v>
      </c>
      <c r="O142">
        <f t="shared" si="17"/>
        <v>0</v>
      </c>
      <c r="P142">
        <f t="shared" si="18"/>
        <v>0</v>
      </c>
      <c r="Q142" t="b">
        <f t="shared" si="19"/>
        <v>0</v>
      </c>
      <c r="R142">
        <f t="shared" si="20"/>
        <v>0</v>
      </c>
      <c r="S142" s="14">
        <f>_xlfn.XLOOKUP(B142,Summary!$C$10:$C$15,Summary!$B$10:$B$15)</f>
        <v>0.21</v>
      </c>
      <c r="T142">
        <f>IF(AND(H142="Yes",L142&lt;&gt;"Government"),G142*(_xlfn.XLOOKUP(B142,Summary!$C$10:$C$15,Summary!$B$10:$B$15)),0)</f>
        <v>0</v>
      </c>
    </row>
    <row r="143" spans="1:20" x14ac:dyDescent="0.25">
      <c r="A143">
        <v>99223</v>
      </c>
      <c r="B143" t="s">
        <v>27</v>
      </c>
      <c r="C143" t="s">
        <v>38</v>
      </c>
      <c r="D143" s="11">
        <v>1520</v>
      </c>
      <c r="E143">
        <v>260.02999999999997</v>
      </c>
      <c r="F143">
        <v>362</v>
      </c>
      <c r="G143">
        <f t="shared" si="14"/>
        <v>550240</v>
      </c>
      <c r="H143" t="s">
        <v>71</v>
      </c>
      <c r="J143" s="9">
        <v>45309</v>
      </c>
      <c r="K143" t="s">
        <v>40</v>
      </c>
      <c r="L143" t="s">
        <v>24</v>
      </c>
      <c r="M143" t="str">
        <f t="shared" si="15"/>
        <v>Public Sector</v>
      </c>
      <c r="N143" t="str">
        <f t="shared" si="16"/>
        <v>Large Order</v>
      </c>
      <c r="O143">
        <f t="shared" si="17"/>
        <v>126555.20000000001</v>
      </c>
      <c r="P143">
        <f t="shared" si="18"/>
        <v>0</v>
      </c>
      <c r="Q143" t="b">
        <f t="shared" si="19"/>
        <v>0</v>
      </c>
      <c r="R143">
        <f t="shared" si="20"/>
        <v>0</v>
      </c>
      <c r="S143" s="14">
        <f>_xlfn.XLOOKUP(B143,Summary!$C$10:$C$15,Summary!$B$10:$B$15)</f>
        <v>0.19</v>
      </c>
      <c r="T143">
        <f>IF(AND(H143="Yes",L143&lt;&gt;"Government"),G143*(_xlfn.XLOOKUP(B143,Summary!$C$10:$C$15,Summary!$B$10:$B$15)),0)</f>
        <v>0</v>
      </c>
    </row>
    <row r="144" spans="1:20" x14ac:dyDescent="0.25">
      <c r="A144">
        <v>36787</v>
      </c>
      <c r="B144" t="s">
        <v>32</v>
      </c>
      <c r="C144" t="s">
        <v>35</v>
      </c>
      <c r="D144" s="11">
        <v>2156</v>
      </c>
      <c r="E144">
        <v>10.54</v>
      </c>
      <c r="F144">
        <v>12</v>
      </c>
      <c r="G144">
        <f t="shared" si="14"/>
        <v>25872</v>
      </c>
      <c r="H144" t="s">
        <v>71</v>
      </c>
      <c r="J144" s="9">
        <v>45226</v>
      </c>
      <c r="K144" t="s">
        <v>41</v>
      </c>
      <c r="L144" t="s">
        <v>33</v>
      </c>
      <c r="M144" t="str">
        <f t="shared" si="15"/>
        <v>Private Industry</v>
      </c>
      <c r="N144" t="str">
        <f t="shared" si="16"/>
        <v>Large Order</v>
      </c>
      <c r="O144">
        <f t="shared" si="17"/>
        <v>5950.56</v>
      </c>
      <c r="P144">
        <f t="shared" si="18"/>
        <v>5950.56</v>
      </c>
      <c r="Q144" t="b">
        <f t="shared" si="19"/>
        <v>1</v>
      </c>
      <c r="R144">
        <f t="shared" si="20"/>
        <v>5950.56</v>
      </c>
      <c r="S144" s="14">
        <f>_xlfn.XLOOKUP(B144,Summary!$C$10:$C$15,Summary!$B$10:$B$15)</f>
        <v>0.23</v>
      </c>
      <c r="T144">
        <f>IF(AND(H144="Yes",L144&lt;&gt;"Government"),G144*(_xlfn.XLOOKUP(B144,Summary!$C$10:$C$15,Summary!$B$10:$B$15)),0)</f>
        <v>5950.56</v>
      </c>
    </row>
    <row r="145" spans="1:20" x14ac:dyDescent="0.25">
      <c r="A145">
        <v>96750</v>
      </c>
      <c r="B145" t="s">
        <v>29</v>
      </c>
      <c r="C145" t="s">
        <v>25</v>
      </c>
      <c r="D145" s="11">
        <v>2671</v>
      </c>
      <c r="E145">
        <v>3.99</v>
      </c>
      <c r="F145">
        <v>6</v>
      </c>
      <c r="G145">
        <f t="shared" si="14"/>
        <v>16026</v>
      </c>
      <c r="H145" t="s">
        <v>71</v>
      </c>
      <c r="J145" s="9">
        <v>45638</v>
      </c>
      <c r="K145" t="s">
        <v>39</v>
      </c>
      <c r="L145" t="s">
        <v>31</v>
      </c>
      <c r="M145" t="str">
        <f t="shared" si="15"/>
        <v>Private Industry</v>
      </c>
      <c r="N145" t="str">
        <f t="shared" si="16"/>
        <v>Large Order</v>
      </c>
      <c r="O145">
        <f t="shared" si="17"/>
        <v>3685.98</v>
      </c>
      <c r="P145">
        <f t="shared" si="18"/>
        <v>3685.98</v>
      </c>
      <c r="Q145" t="b">
        <f t="shared" si="19"/>
        <v>1</v>
      </c>
      <c r="R145">
        <f t="shared" si="20"/>
        <v>3685.98</v>
      </c>
      <c r="S145" s="14">
        <f>_xlfn.XLOOKUP(B145,Summary!$C$10:$C$15,Summary!$B$10:$B$15)</f>
        <v>0.22</v>
      </c>
      <c r="T145">
        <f>IF(AND(H145="Yes",L145&lt;&gt;"Government"),G145*(_xlfn.XLOOKUP(B145,Summary!$C$10:$C$15,Summary!$B$10:$B$15)),0)</f>
        <v>3525.72</v>
      </c>
    </row>
    <row r="146" spans="1:20" x14ac:dyDescent="0.25">
      <c r="A146">
        <v>72425</v>
      </c>
      <c r="B146" t="s">
        <v>32</v>
      </c>
      <c r="C146" t="s">
        <v>38</v>
      </c>
      <c r="D146" s="11">
        <v>1269</v>
      </c>
      <c r="E146">
        <v>260.31</v>
      </c>
      <c r="F146">
        <v>331</v>
      </c>
      <c r="G146">
        <f t="shared" si="14"/>
        <v>420039</v>
      </c>
      <c r="H146" t="s">
        <v>71</v>
      </c>
      <c r="J146" s="9">
        <v>45547</v>
      </c>
      <c r="K146" t="s">
        <v>40</v>
      </c>
      <c r="L146" t="s">
        <v>24</v>
      </c>
      <c r="M146" t="str">
        <f t="shared" si="15"/>
        <v>Public Sector</v>
      </c>
      <c r="N146" t="str">
        <f t="shared" si="16"/>
        <v>Small Order</v>
      </c>
      <c r="O146">
        <f t="shared" si="17"/>
        <v>96608.97</v>
      </c>
      <c r="P146">
        <f t="shared" si="18"/>
        <v>0</v>
      </c>
      <c r="Q146" t="b">
        <f t="shared" si="19"/>
        <v>0</v>
      </c>
      <c r="R146">
        <f t="shared" si="20"/>
        <v>0</v>
      </c>
      <c r="S146" s="14">
        <f>_xlfn.XLOOKUP(B146,Summary!$C$10:$C$15,Summary!$B$10:$B$15)</f>
        <v>0.23</v>
      </c>
      <c r="T146">
        <f>IF(AND(H146="Yes",L146&lt;&gt;"Government"),G146*(_xlfn.XLOOKUP(B146,Summary!$C$10:$C$15,Summary!$B$10:$B$15)),0)</f>
        <v>0</v>
      </c>
    </row>
    <row r="147" spans="1:20" x14ac:dyDescent="0.25">
      <c r="A147">
        <v>32556</v>
      </c>
      <c r="B147" t="s">
        <v>44</v>
      </c>
      <c r="C147" t="s">
        <v>36</v>
      </c>
      <c r="D147" s="11">
        <v>1916</v>
      </c>
      <c r="E147">
        <v>120.47</v>
      </c>
      <c r="F147">
        <v>176</v>
      </c>
      <c r="G147">
        <f t="shared" si="14"/>
        <v>337216</v>
      </c>
      <c r="H147" t="s">
        <v>71</v>
      </c>
      <c r="J147" s="9">
        <v>45543</v>
      </c>
      <c r="K147" t="s">
        <v>41</v>
      </c>
      <c r="L147" t="s">
        <v>33</v>
      </c>
      <c r="M147" t="str">
        <f t="shared" si="15"/>
        <v>Private Industry</v>
      </c>
      <c r="N147" t="str">
        <f t="shared" si="16"/>
        <v>Large Order</v>
      </c>
      <c r="O147">
        <f t="shared" si="17"/>
        <v>77559.680000000008</v>
      </c>
      <c r="P147">
        <f t="shared" si="18"/>
        <v>77559.680000000008</v>
      </c>
      <c r="Q147" t="b">
        <f t="shared" si="19"/>
        <v>1</v>
      </c>
      <c r="R147">
        <f t="shared" si="20"/>
        <v>77559.680000000008</v>
      </c>
      <c r="S147" s="14">
        <f>_xlfn.XLOOKUP(B147,Summary!$C$10:$C$15,Summary!$B$10:$B$15)</f>
        <v>0.2</v>
      </c>
      <c r="T147">
        <f>IF(AND(H147="Yes",L147&lt;&gt;"Government"),G147*(_xlfn.XLOOKUP(B147,Summary!$C$10:$C$15,Summary!$B$10:$B$15)),0)</f>
        <v>67443.199999999997</v>
      </c>
    </row>
    <row r="148" spans="1:20" x14ac:dyDescent="0.25">
      <c r="A148">
        <v>66542</v>
      </c>
      <c r="B148" t="s">
        <v>43</v>
      </c>
      <c r="C148" t="s">
        <v>37</v>
      </c>
      <c r="D148" s="11">
        <v>986</v>
      </c>
      <c r="E148">
        <v>250.61</v>
      </c>
      <c r="F148">
        <v>319</v>
      </c>
      <c r="G148">
        <f t="shared" si="14"/>
        <v>314534</v>
      </c>
      <c r="H148" t="s">
        <v>72</v>
      </c>
      <c r="J148" s="9">
        <v>45358</v>
      </c>
      <c r="K148" t="s">
        <v>41</v>
      </c>
      <c r="L148" t="s">
        <v>24</v>
      </c>
      <c r="M148" t="str">
        <f t="shared" si="15"/>
        <v>Public Sector</v>
      </c>
      <c r="N148" t="str">
        <f t="shared" si="16"/>
        <v>Small Order</v>
      </c>
      <c r="O148">
        <f t="shared" si="17"/>
        <v>0</v>
      </c>
      <c r="P148">
        <f t="shared" si="18"/>
        <v>0</v>
      </c>
      <c r="Q148" t="b">
        <f t="shared" si="19"/>
        <v>0</v>
      </c>
      <c r="R148">
        <f t="shared" si="20"/>
        <v>0</v>
      </c>
      <c r="S148" s="14">
        <f>_xlfn.XLOOKUP(B148,Summary!$C$10:$C$15,Summary!$B$10:$B$15)</f>
        <v>0.21</v>
      </c>
      <c r="T148">
        <f>IF(AND(H148="Yes",L148&lt;&gt;"Government"),G148*(_xlfn.XLOOKUP(B148,Summary!$C$10:$C$15,Summary!$B$10:$B$15)),0)</f>
        <v>0</v>
      </c>
    </row>
    <row r="149" spans="1:20" x14ac:dyDescent="0.25">
      <c r="A149">
        <v>44473</v>
      </c>
      <c r="B149" t="s">
        <v>43</v>
      </c>
      <c r="C149" t="s">
        <v>36</v>
      </c>
      <c r="D149" s="11">
        <v>914</v>
      </c>
      <c r="E149">
        <v>120.09</v>
      </c>
      <c r="F149">
        <v>173</v>
      </c>
      <c r="G149">
        <f t="shared" si="14"/>
        <v>158122</v>
      </c>
      <c r="H149" t="s">
        <v>71</v>
      </c>
      <c r="J149" s="9">
        <v>45318</v>
      </c>
      <c r="K149" t="s">
        <v>41</v>
      </c>
      <c r="L149" t="s">
        <v>31</v>
      </c>
      <c r="M149" t="str">
        <f t="shared" si="15"/>
        <v>Private Industry</v>
      </c>
      <c r="N149" t="str">
        <f t="shared" si="16"/>
        <v>Small Order</v>
      </c>
      <c r="O149">
        <f t="shared" si="17"/>
        <v>36368.060000000005</v>
      </c>
      <c r="P149">
        <f t="shared" si="18"/>
        <v>36368.060000000005</v>
      </c>
      <c r="Q149" t="b">
        <f t="shared" si="19"/>
        <v>1</v>
      </c>
      <c r="R149">
        <f t="shared" si="20"/>
        <v>36368.060000000005</v>
      </c>
      <c r="S149" s="14">
        <f>_xlfn.XLOOKUP(B149,Summary!$C$10:$C$15,Summary!$B$10:$B$15)</f>
        <v>0.21</v>
      </c>
      <c r="T149">
        <f>IF(AND(H149="Yes",L149&lt;&gt;"Government"),G149*(_xlfn.XLOOKUP(B149,Summary!$C$10:$C$15,Summary!$B$10:$B$15)),0)</f>
        <v>33205.619999999995</v>
      </c>
    </row>
    <row r="150" spans="1:20" x14ac:dyDescent="0.25">
      <c r="A150">
        <v>27427</v>
      </c>
      <c r="B150" t="s">
        <v>44</v>
      </c>
      <c r="C150" t="s">
        <v>35</v>
      </c>
      <c r="D150" s="11">
        <v>2299</v>
      </c>
      <c r="E150">
        <v>10.23</v>
      </c>
      <c r="F150">
        <v>13</v>
      </c>
      <c r="G150">
        <f t="shared" si="14"/>
        <v>29887</v>
      </c>
      <c r="H150" t="s">
        <v>72</v>
      </c>
      <c r="J150" s="9">
        <v>45639</v>
      </c>
      <c r="K150" t="s">
        <v>40</v>
      </c>
      <c r="L150" t="s">
        <v>31</v>
      </c>
      <c r="M150" t="str">
        <f t="shared" si="15"/>
        <v>Private Industry</v>
      </c>
      <c r="N150" t="str">
        <f t="shared" si="16"/>
        <v>Large Order</v>
      </c>
      <c r="O150">
        <f t="shared" si="17"/>
        <v>0</v>
      </c>
      <c r="P150">
        <f t="shared" si="18"/>
        <v>0</v>
      </c>
      <c r="Q150" t="b">
        <f t="shared" si="19"/>
        <v>0</v>
      </c>
      <c r="R150">
        <f t="shared" si="20"/>
        <v>0</v>
      </c>
      <c r="S150" s="14">
        <f>_xlfn.XLOOKUP(B150,Summary!$C$10:$C$15,Summary!$B$10:$B$15)</f>
        <v>0.2</v>
      </c>
      <c r="T150">
        <f>IF(AND(H150="Yes",L150&lt;&gt;"Government"),G150*(_xlfn.XLOOKUP(B150,Summary!$C$10:$C$15,Summary!$B$10:$B$15)),0)</f>
        <v>0</v>
      </c>
    </row>
    <row r="151" spans="1:20" x14ac:dyDescent="0.25">
      <c r="A151">
        <v>94971</v>
      </c>
      <c r="B151" t="s">
        <v>29</v>
      </c>
      <c r="C151" t="s">
        <v>38</v>
      </c>
      <c r="D151" s="11">
        <v>1899</v>
      </c>
      <c r="E151">
        <v>260.13</v>
      </c>
      <c r="F151">
        <v>354</v>
      </c>
      <c r="G151">
        <f t="shared" si="14"/>
        <v>672246</v>
      </c>
      <c r="H151" t="s">
        <v>72</v>
      </c>
      <c r="J151" s="9">
        <v>45720</v>
      </c>
      <c r="K151" t="s">
        <v>26</v>
      </c>
      <c r="L151" t="s">
        <v>24</v>
      </c>
      <c r="M151" t="str">
        <f t="shared" si="15"/>
        <v>Public Sector</v>
      </c>
      <c r="N151" t="str">
        <f t="shared" si="16"/>
        <v>Large Order</v>
      </c>
      <c r="O151">
        <f t="shared" si="17"/>
        <v>0</v>
      </c>
      <c r="P151">
        <f t="shared" si="18"/>
        <v>0</v>
      </c>
      <c r="Q151" t="b">
        <f t="shared" si="19"/>
        <v>0</v>
      </c>
      <c r="R151">
        <f t="shared" si="20"/>
        <v>0</v>
      </c>
      <c r="S151" s="14">
        <f>_xlfn.XLOOKUP(B151,Summary!$C$10:$C$15,Summary!$B$10:$B$15)</f>
        <v>0.22</v>
      </c>
      <c r="T151">
        <f>IF(AND(H151="Yes",L151&lt;&gt;"Government"),G151*(_xlfn.XLOOKUP(B151,Summary!$C$10:$C$15,Summary!$B$10:$B$15)),0)</f>
        <v>0</v>
      </c>
    </row>
    <row r="152" spans="1:20" x14ac:dyDescent="0.25">
      <c r="A152">
        <v>66377</v>
      </c>
      <c r="B152" t="s">
        <v>29</v>
      </c>
      <c r="C152" t="s">
        <v>38</v>
      </c>
      <c r="D152" s="11">
        <v>3421</v>
      </c>
      <c r="E152">
        <v>260.55</v>
      </c>
      <c r="F152">
        <v>277</v>
      </c>
      <c r="G152">
        <f t="shared" si="14"/>
        <v>947617</v>
      </c>
      <c r="H152" t="s">
        <v>71</v>
      </c>
      <c r="J152" s="9">
        <v>45202</v>
      </c>
      <c r="K152" t="s">
        <v>41</v>
      </c>
      <c r="L152" t="s">
        <v>24</v>
      </c>
      <c r="M152" t="str">
        <f t="shared" si="15"/>
        <v>Public Sector</v>
      </c>
      <c r="N152" t="str">
        <f t="shared" si="16"/>
        <v>Large Order</v>
      </c>
      <c r="O152">
        <f t="shared" si="17"/>
        <v>217951.91</v>
      </c>
      <c r="P152">
        <f t="shared" si="18"/>
        <v>0</v>
      </c>
      <c r="Q152" t="b">
        <f t="shared" si="19"/>
        <v>0</v>
      </c>
      <c r="R152">
        <f t="shared" si="20"/>
        <v>0</v>
      </c>
      <c r="S152" s="14">
        <f>_xlfn.XLOOKUP(B152,Summary!$C$10:$C$15,Summary!$B$10:$B$15)</f>
        <v>0.22</v>
      </c>
      <c r="T152">
        <f>IF(AND(H152="Yes",L152&lt;&gt;"Government"),G152*(_xlfn.XLOOKUP(B152,Summary!$C$10:$C$15,Summary!$B$10:$B$15)),0)</f>
        <v>0</v>
      </c>
    </row>
    <row r="153" spans="1:20" x14ac:dyDescent="0.25">
      <c r="A153">
        <v>88864</v>
      </c>
      <c r="B153" t="s">
        <v>27</v>
      </c>
      <c r="C153" t="s">
        <v>25</v>
      </c>
      <c r="D153" s="11">
        <v>1618</v>
      </c>
      <c r="E153">
        <v>3.57</v>
      </c>
      <c r="F153">
        <v>6</v>
      </c>
      <c r="G153">
        <f t="shared" si="14"/>
        <v>9708</v>
      </c>
      <c r="H153" t="s">
        <v>72</v>
      </c>
      <c r="J153" s="9">
        <v>45693</v>
      </c>
      <c r="K153" t="s">
        <v>26</v>
      </c>
      <c r="L153" t="s">
        <v>24</v>
      </c>
      <c r="M153" t="str">
        <f t="shared" si="15"/>
        <v>Public Sector</v>
      </c>
      <c r="N153" t="str">
        <f t="shared" si="16"/>
        <v>Large Order</v>
      </c>
      <c r="O153">
        <f t="shared" si="17"/>
        <v>0</v>
      </c>
      <c r="P153">
        <f t="shared" si="18"/>
        <v>0</v>
      </c>
      <c r="Q153" t="b">
        <f t="shared" si="19"/>
        <v>0</v>
      </c>
      <c r="R153">
        <f t="shared" si="20"/>
        <v>0</v>
      </c>
      <c r="S153" s="14">
        <f>_xlfn.XLOOKUP(B153,Summary!$C$10:$C$15,Summary!$B$10:$B$15)</f>
        <v>0.19</v>
      </c>
      <c r="T153">
        <f>IF(AND(H153="Yes",L153&lt;&gt;"Government"),G153*(_xlfn.XLOOKUP(B153,Summary!$C$10:$C$15,Summary!$B$10:$B$15)),0)</f>
        <v>0</v>
      </c>
    </row>
    <row r="154" spans="1:20" x14ac:dyDescent="0.25">
      <c r="A154">
        <v>55665</v>
      </c>
      <c r="B154" t="s">
        <v>27</v>
      </c>
      <c r="C154" t="s">
        <v>25</v>
      </c>
      <c r="D154" s="11">
        <v>1116</v>
      </c>
      <c r="E154">
        <v>3.82</v>
      </c>
      <c r="F154">
        <v>6</v>
      </c>
      <c r="G154">
        <f t="shared" si="14"/>
        <v>6696</v>
      </c>
      <c r="H154" t="s">
        <v>72</v>
      </c>
      <c r="J154" s="9">
        <v>45475</v>
      </c>
      <c r="K154" t="s">
        <v>40</v>
      </c>
      <c r="L154" t="s">
        <v>31</v>
      </c>
      <c r="M154" t="str">
        <f t="shared" si="15"/>
        <v>Private Industry</v>
      </c>
      <c r="N154" t="str">
        <f t="shared" si="16"/>
        <v>Small Order</v>
      </c>
      <c r="O154">
        <f t="shared" si="17"/>
        <v>0</v>
      </c>
      <c r="P154">
        <f t="shared" si="18"/>
        <v>0</v>
      </c>
      <c r="Q154" t="b">
        <f t="shared" si="19"/>
        <v>0</v>
      </c>
      <c r="R154">
        <f t="shared" si="20"/>
        <v>0</v>
      </c>
      <c r="S154" s="14">
        <f>_xlfn.XLOOKUP(B154,Summary!$C$10:$C$15,Summary!$B$10:$B$15)</f>
        <v>0.19</v>
      </c>
      <c r="T154">
        <f>IF(AND(H154="Yes",L154&lt;&gt;"Government"),G154*(_xlfn.XLOOKUP(B154,Summary!$C$10:$C$15,Summary!$B$10:$B$15)),0)</f>
        <v>0</v>
      </c>
    </row>
    <row r="155" spans="1:20" x14ac:dyDescent="0.25">
      <c r="A155">
        <v>93465</v>
      </c>
      <c r="B155" t="s">
        <v>32</v>
      </c>
      <c r="C155" t="s">
        <v>35</v>
      </c>
      <c r="D155" s="11">
        <v>914</v>
      </c>
      <c r="E155">
        <v>10.31</v>
      </c>
      <c r="F155">
        <v>12</v>
      </c>
      <c r="G155">
        <f t="shared" si="14"/>
        <v>10968</v>
      </c>
      <c r="H155" t="s">
        <v>72</v>
      </c>
      <c r="J155" s="9">
        <v>45606</v>
      </c>
      <c r="K155" t="s">
        <v>41</v>
      </c>
      <c r="L155" t="s">
        <v>31</v>
      </c>
      <c r="M155" t="str">
        <f t="shared" si="15"/>
        <v>Private Industry</v>
      </c>
      <c r="N155" t="str">
        <f t="shared" si="16"/>
        <v>Small Order</v>
      </c>
      <c r="O155">
        <f t="shared" si="17"/>
        <v>0</v>
      </c>
      <c r="P155">
        <f t="shared" si="18"/>
        <v>0</v>
      </c>
      <c r="Q155" t="b">
        <f t="shared" si="19"/>
        <v>0</v>
      </c>
      <c r="R155">
        <f t="shared" si="20"/>
        <v>0</v>
      </c>
      <c r="S155" s="14">
        <f>_xlfn.XLOOKUP(B155,Summary!$C$10:$C$15,Summary!$B$10:$B$15)</f>
        <v>0.23</v>
      </c>
      <c r="T155">
        <f>IF(AND(H155="Yes",L155&lt;&gt;"Government"),G155*(_xlfn.XLOOKUP(B155,Summary!$C$10:$C$15,Summary!$B$10:$B$15)),0)</f>
        <v>0</v>
      </c>
    </row>
    <row r="156" spans="1:20" x14ac:dyDescent="0.25">
      <c r="A156">
        <v>68602</v>
      </c>
      <c r="B156" t="s">
        <v>27</v>
      </c>
      <c r="C156" t="s">
        <v>35</v>
      </c>
      <c r="D156" s="11">
        <v>357</v>
      </c>
      <c r="E156">
        <v>10.81</v>
      </c>
      <c r="F156">
        <v>15</v>
      </c>
      <c r="G156">
        <f t="shared" si="14"/>
        <v>5355</v>
      </c>
      <c r="H156" t="s">
        <v>71</v>
      </c>
      <c r="J156" s="9">
        <v>45437</v>
      </c>
      <c r="K156" t="s">
        <v>41</v>
      </c>
      <c r="L156" t="s">
        <v>24</v>
      </c>
      <c r="M156" t="str">
        <f t="shared" si="15"/>
        <v>Public Sector</v>
      </c>
      <c r="N156" t="str">
        <f t="shared" si="16"/>
        <v>Small Order</v>
      </c>
      <c r="O156">
        <f t="shared" si="17"/>
        <v>1231.6500000000001</v>
      </c>
      <c r="P156">
        <f t="shared" si="18"/>
        <v>0</v>
      </c>
      <c r="Q156" t="b">
        <f t="shared" si="19"/>
        <v>0</v>
      </c>
      <c r="R156">
        <f t="shared" si="20"/>
        <v>0</v>
      </c>
      <c r="S156" s="14">
        <f>_xlfn.XLOOKUP(B156,Summary!$C$10:$C$15,Summary!$B$10:$B$15)</f>
        <v>0.19</v>
      </c>
      <c r="T156">
        <f>IF(AND(H156="Yes",L156&lt;&gt;"Government"),G156*(_xlfn.XLOOKUP(B156,Summary!$C$10:$C$15,Summary!$B$10:$B$15)),0)</f>
        <v>0</v>
      </c>
    </row>
    <row r="157" spans="1:20" x14ac:dyDescent="0.25">
      <c r="A157">
        <v>34756</v>
      </c>
      <c r="B157" t="s">
        <v>42</v>
      </c>
      <c r="C157" t="s">
        <v>37</v>
      </c>
      <c r="D157" s="11">
        <v>492</v>
      </c>
      <c r="E157">
        <v>250.96</v>
      </c>
      <c r="F157">
        <v>299</v>
      </c>
      <c r="G157">
        <f t="shared" si="14"/>
        <v>147108</v>
      </c>
      <c r="H157" t="s">
        <v>71</v>
      </c>
      <c r="J157" s="9">
        <v>45755</v>
      </c>
      <c r="K157" t="s">
        <v>41</v>
      </c>
      <c r="L157" t="s">
        <v>28</v>
      </c>
      <c r="M157" t="str">
        <f t="shared" si="15"/>
        <v>Private Industry</v>
      </c>
      <c r="N157" t="str">
        <f t="shared" si="16"/>
        <v>Small Order</v>
      </c>
      <c r="O157">
        <f t="shared" si="17"/>
        <v>33834.840000000004</v>
      </c>
      <c r="P157">
        <f t="shared" si="18"/>
        <v>33834.840000000004</v>
      </c>
      <c r="Q157" t="b">
        <f t="shared" si="19"/>
        <v>1</v>
      </c>
      <c r="R157">
        <f t="shared" si="20"/>
        <v>33834.840000000004</v>
      </c>
      <c r="S157" s="14">
        <f>_xlfn.XLOOKUP(B157,Summary!$C$10:$C$15,Summary!$B$10:$B$15)</f>
        <v>0.24</v>
      </c>
      <c r="T157">
        <f>IF(AND(H157="Yes",L157&lt;&gt;"Government"),G157*(_xlfn.XLOOKUP(B157,Summary!$C$10:$C$15,Summary!$B$10:$B$15)),0)</f>
        <v>35305.919999999998</v>
      </c>
    </row>
    <row r="158" spans="1:20" x14ac:dyDescent="0.25">
      <c r="A158">
        <v>37910</v>
      </c>
      <c r="B158" t="s">
        <v>43</v>
      </c>
      <c r="C158" t="s">
        <v>35</v>
      </c>
      <c r="D158" s="11">
        <v>3450</v>
      </c>
      <c r="E158">
        <v>10.75</v>
      </c>
      <c r="F158">
        <v>13</v>
      </c>
      <c r="G158">
        <f t="shared" si="14"/>
        <v>44850</v>
      </c>
      <c r="H158" t="s">
        <v>71</v>
      </c>
      <c r="J158" s="9">
        <v>45368</v>
      </c>
      <c r="K158" t="s">
        <v>39</v>
      </c>
      <c r="L158" t="s">
        <v>24</v>
      </c>
      <c r="M158" t="str">
        <f t="shared" si="15"/>
        <v>Public Sector</v>
      </c>
      <c r="N158" t="str">
        <f t="shared" si="16"/>
        <v>Large Order</v>
      </c>
      <c r="O158">
        <f t="shared" si="17"/>
        <v>10315.5</v>
      </c>
      <c r="P158">
        <f t="shared" si="18"/>
        <v>0</v>
      </c>
      <c r="Q158" t="b">
        <f t="shared" si="19"/>
        <v>0</v>
      </c>
      <c r="R158">
        <f t="shared" si="20"/>
        <v>0</v>
      </c>
      <c r="S158" s="14">
        <f>_xlfn.XLOOKUP(B158,Summary!$C$10:$C$15,Summary!$B$10:$B$15)</f>
        <v>0.21</v>
      </c>
      <c r="T158">
        <f>IF(AND(H158="Yes",L158&lt;&gt;"Government"),G158*(_xlfn.XLOOKUP(B158,Summary!$C$10:$C$15,Summary!$B$10:$B$15)),0)</f>
        <v>0</v>
      </c>
    </row>
    <row r="159" spans="1:20" x14ac:dyDescent="0.25">
      <c r="A159">
        <v>13662</v>
      </c>
      <c r="B159" t="s">
        <v>32</v>
      </c>
      <c r="C159" t="s">
        <v>35</v>
      </c>
      <c r="D159" s="11">
        <v>1414</v>
      </c>
      <c r="E159">
        <v>10.49</v>
      </c>
      <c r="F159">
        <v>13</v>
      </c>
      <c r="G159">
        <f t="shared" si="14"/>
        <v>18382</v>
      </c>
      <c r="H159" t="s">
        <v>71</v>
      </c>
      <c r="J159" s="9">
        <v>45322</v>
      </c>
      <c r="K159" t="s">
        <v>39</v>
      </c>
      <c r="L159" t="s">
        <v>34</v>
      </c>
      <c r="M159" t="str">
        <f t="shared" si="15"/>
        <v>Private Industry</v>
      </c>
      <c r="N159" t="str">
        <f t="shared" si="16"/>
        <v>Small Order</v>
      </c>
      <c r="O159">
        <f t="shared" si="17"/>
        <v>4227.8600000000006</v>
      </c>
      <c r="P159">
        <f t="shared" si="18"/>
        <v>4227.8600000000006</v>
      </c>
      <c r="Q159" t="b">
        <f t="shared" si="19"/>
        <v>1</v>
      </c>
      <c r="R159">
        <f t="shared" si="20"/>
        <v>4227.8600000000006</v>
      </c>
      <c r="S159" s="14">
        <f>_xlfn.XLOOKUP(B159,Summary!$C$10:$C$15,Summary!$B$10:$B$15)</f>
        <v>0.23</v>
      </c>
      <c r="T159">
        <f>IF(AND(H159="Yes",L159&lt;&gt;"Government"),G159*(_xlfn.XLOOKUP(B159,Summary!$C$10:$C$15,Summary!$B$10:$B$15)),0)</f>
        <v>4227.8600000000006</v>
      </c>
    </row>
    <row r="160" spans="1:20" x14ac:dyDescent="0.25">
      <c r="A160">
        <v>42597</v>
      </c>
      <c r="B160" t="s">
        <v>44</v>
      </c>
      <c r="C160" t="s">
        <v>25</v>
      </c>
      <c r="D160" s="11">
        <v>923</v>
      </c>
      <c r="E160">
        <v>3.84</v>
      </c>
      <c r="F160">
        <v>5</v>
      </c>
      <c r="G160">
        <f t="shared" si="14"/>
        <v>4615</v>
      </c>
      <c r="H160" t="s">
        <v>71</v>
      </c>
      <c r="J160" s="9">
        <v>45186</v>
      </c>
      <c r="K160" t="s">
        <v>41</v>
      </c>
      <c r="L160" t="s">
        <v>24</v>
      </c>
      <c r="M160" t="str">
        <f t="shared" si="15"/>
        <v>Public Sector</v>
      </c>
      <c r="N160" t="str">
        <f t="shared" si="16"/>
        <v>Small Order</v>
      </c>
      <c r="O160">
        <f t="shared" si="17"/>
        <v>1061.45</v>
      </c>
      <c r="P160">
        <f t="shared" si="18"/>
        <v>0</v>
      </c>
      <c r="Q160" t="b">
        <f t="shared" si="19"/>
        <v>0</v>
      </c>
      <c r="R160">
        <f t="shared" si="20"/>
        <v>0</v>
      </c>
      <c r="S160" s="14">
        <f>_xlfn.XLOOKUP(B160,Summary!$C$10:$C$15,Summary!$B$10:$B$15)</f>
        <v>0.2</v>
      </c>
      <c r="T160">
        <f>IF(AND(H160="Yes",L160&lt;&gt;"Government"),G160*(_xlfn.XLOOKUP(B160,Summary!$C$10:$C$15,Summary!$B$10:$B$15)),0)</f>
        <v>0</v>
      </c>
    </row>
    <row r="161" spans="1:20" x14ac:dyDescent="0.25">
      <c r="A161">
        <v>40760</v>
      </c>
      <c r="B161" t="s">
        <v>27</v>
      </c>
      <c r="C161" t="s">
        <v>35</v>
      </c>
      <c r="D161" s="11">
        <v>807</v>
      </c>
      <c r="E161">
        <v>10.06</v>
      </c>
      <c r="F161">
        <v>13</v>
      </c>
      <c r="G161">
        <f t="shared" si="14"/>
        <v>10491</v>
      </c>
      <c r="H161" t="s">
        <v>71</v>
      </c>
      <c r="J161" s="9">
        <v>45554</v>
      </c>
      <c r="K161" t="s">
        <v>41</v>
      </c>
      <c r="L161" t="s">
        <v>34</v>
      </c>
      <c r="M161" t="str">
        <f t="shared" si="15"/>
        <v>Private Industry</v>
      </c>
      <c r="N161" t="str">
        <f t="shared" si="16"/>
        <v>Small Order</v>
      </c>
      <c r="O161">
        <f t="shared" si="17"/>
        <v>2412.9300000000003</v>
      </c>
      <c r="P161">
        <f t="shared" si="18"/>
        <v>2412.9300000000003</v>
      </c>
      <c r="Q161" t="b">
        <f t="shared" si="19"/>
        <v>1</v>
      </c>
      <c r="R161">
        <f t="shared" si="20"/>
        <v>2412.9300000000003</v>
      </c>
      <c r="S161" s="14">
        <f>_xlfn.XLOOKUP(B161,Summary!$C$10:$C$15,Summary!$B$10:$B$15)</f>
        <v>0.19</v>
      </c>
      <c r="T161">
        <f>IF(AND(H161="Yes",L161&lt;&gt;"Government"),G161*(_xlfn.XLOOKUP(B161,Summary!$C$10:$C$15,Summary!$B$10:$B$15)),0)</f>
        <v>1993.29</v>
      </c>
    </row>
    <row r="162" spans="1:20" x14ac:dyDescent="0.25">
      <c r="A162">
        <v>25372</v>
      </c>
      <c r="B162" t="s">
        <v>27</v>
      </c>
      <c r="C162" t="s">
        <v>37</v>
      </c>
      <c r="D162" s="11">
        <v>1570</v>
      </c>
      <c r="E162">
        <v>250.77</v>
      </c>
      <c r="F162">
        <v>327</v>
      </c>
      <c r="G162">
        <f t="shared" si="14"/>
        <v>513390</v>
      </c>
      <c r="H162" t="s">
        <v>71</v>
      </c>
      <c r="J162" s="9">
        <v>45150</v>
      </c>
      <c r="K162" t="s">
        <v>39</v>
      </c>
      <c r="L162" t="s">
        <v>33</v>
      </c>
      <c r="M162" t="str">
        <f t="shared" si="15"/>
        <v>Private Industry</v>
      </c>
      <c r="N162" t="str">
        <f t="shared" si="16"/>
        <v>Large Order</v>
      </c>
      <c r="O162">
        <f t="shared" si="17"/>
        <v>118079.70000000001</v>
      </c>
      <c r="P162">
        <f t="shared" si="18"/>
        <v>118079.70000000001</v>
      </c>
      <c r="Q162" t="b">
        <f t="shared" si="19"/>
        <v>1</v>
      </c>
      <c r="R162">
        <f t="shared" si="20"/>
        <v>118079.70000000001</v>
      </c>
      <c r="S162" s="14">
        <f>_xlfn.XLOOKUP(B162,Summary!$C$10:$C$15,Summary!$B$10:$B$15)</f>
        <v>0.19</v>
      </c>
      <c r="T162">
        <f>IF(AND(H162="Yes",L162&lt;&gt;"Government"),G162*(_xlfn.XLOOKUP(B162,Summary!$C$10:$C$15,Summary!$B$10:$B$15)),0)</f>
        <v>97544.1</v>
      </c>
    </row>
    <row r="163" spans="1:20" x14ac:dyDescent="0.25">
      <c r="A163">
        <v>61056</v>
      </c>
      <c r="B163" t="s">
        <v>27</v>
      </c>
      <c r="C163" t="s">
        <v>36</v>
      </c>
      <c r="D163" s="11">
        <v>809</v>
      </c>
      <c r="E163">
        <v>120.48</v>
      </c>
      <c r="F163">
        <v>138</v>
      </c>
      <c r="G163">
        <f t="shared" si="14"/>
        <v>111642</v>
      </c>
      <c r="H163" t="s">
        <v>71</v>
      </c>
      <c r="J163" s="9">
        <v>45469</v>
      </c>
      <c r="K163" t="s">
        <v>39</v>
      </c>
      <c r="L163" t="s">
        <v>33</v>
      </c>
      <c r="M163" t="str">
        <f t="shared" si="15"/>
        <v>Private Industry</v>
      </c>
      <c r="N163" t="str">
        <f t="shared" si="16"/>
        <v>Small Order</v>
      </c>
      <c r="O163">
        <f t="shared" si="17"/>
        <v>25677.66</v>
      </c>
      <c r="P163">
        <f t="shared" si="18"/>
        <v>25677.66</v>
      </c>
      <c r="Q163" t="b">
        <f t="shared" si="19"/>
        <v>1</v>
      </c>
      <c r="R163">
        <f t="shared" si="20"/>
        <v>25677.66</v>
      </c>
      <c r="S163" s="14">
        <f>_xlfn.XLOOKUP(B163,Summary!$C$10:$C$15,Summary!$B$10:$B$15)</f>
        <v>0.19</v>
      </c>
      <c r="T163">
        <f>IF(AND(H163="Yes",L163&lt;&gt;"Government"),G163*(_xlfn.XLOOKUP(B163,Summary!$C$10:$C$15,Summary!$B$10:$B$15)),0)</f>
        <v>21211.98</v>
      </c>
    </row>
    <row r="164" spans="1:20" x14ac:dyDescent="0.25">
      <c r="A164">
        <v>34353</v>
      </c>
      <c r="B164" t="s">
        <v>27</v>
      </c>
      <c r="C164" t="s">
        <v>36</v>
      </c>
      <c r="D164" s="11">
        <v>510</v>
      </c>
      <c r="E164">
        <v>120.3</v>
      </c>
      <c r="F164">
        <v>175</v>
      </c>
      <c r="G164">
        <f t="shared" si="14"/>
        <v>89250</v>
      </c>
      <c r="H164" t="s">
        <v>72</v>
      </c>
      <c r="J164" s="9">
        <v>45597</v>
      </c>
      <c r="K164" t="s">
        <v>41</v>
      </c>
      <c r="L164" t="s">
        <v>28</v>
      </c>
      <c r="M164" t="str">
        <f t="shared" si="15"/>
        <v>Private Industry</v>
      </c>
      <c r="N164" t="str">
        <f t="shared" si="16"/>
        <v>Small Order</v>
      </c>
      <c r="O164">
        <f t="shared" si="17"/>
        <v>0</v>
      </c>
      <c r="P164">
        <f t="shared" si="18"/>
        <v>0</v>
      </c>
      <c r="Q164" t="b">
        <f t="shared" si="19"/>
        <v>0</v>
      </c>
      <c r="R164">
        <f t="shared" si="20"/>
        <v>0</v>
      </c>
      <c r="S164" s="14">
        <f>_xlfn.XLOOKUP(B164,Summary!$C$10:$C$15,Summary!$B$10:$B$15)</f>
        <v>0.19</v>
      </c>
      <c r="T164">
        <f>IF(AND(H164="Yes",L164&lt;&gt;"Government"),G164*(_xlfn.XLOOKUP(B164,Summary!$C$10:$C$15,Summary!$B$10:$B$15)),0)</f>
        <v>0</v>
      </c>
    </row>
    <row r="165" spans="1:20" x14ac:dyDescent="0.25">
      <c r="A165">
        <v>48596</v>
      </c>
      <c r="B165" t="s">
        <v>44</v>
      </c>
      <c r="C165" t="s">
        <v>35</v>
      </c>
      <c r="D165" s="11">
        <v>1916</v>
      </c>
      <c r="E165">
        <v>10.44</v>
      </c>
      <c r="F165">
        <v>13</v>
      </c>
      <c r="G165">
        <f t="shared" si="14"/>
        <v>24908</v>
      </c>
      <c r="H165" t="s">
        <v>71</v>
      </c>
      <c r="J165" s="9">
        <v>45581</v>
      </c>
      <c r="K165" t="s">
        <v>39</v>
      </c>
      <c r="L165" t="s">
        <v>34</v>
      </c>
      <c r="M165" t="str">
        <f t="shared" si="15"/>
        <v>Private Industry</v>
      </c>
      <c r="N165" t="str">
        <f t="shared" si="16"/>
        <v>Large Order</v>
      </c>
      <c r="O165">
        <f t="shared" si="17"/>
        <v>5728.84</v>
      </c>
      <c r="P165">
        <f t="shared" si="18"/>
        <v>5728.84</v>
      </c>
      <c r="Q165" t="b">
        <f t="shared" si="19"/>
        <v>1</v>
      </c>
      <c r="R165">
        <f t="shared" si="20"/>
        <v>5728.84</v>
      </c>
      <c r="S165" s="14">
        <f>_xlfn.XLOOKUP(B165,Summary!$C$10:$C$15,Summary!$B$10:$B$15)</f>
        <v>0.2</v>
      </c>
      <c r="T165">
        <f>IF(AND(H165="Yes",L165&lt;&gt;"Government"),G165*(_xlfn.XLOOKUP(B165,Summary!$C$10:$C$15,Summary!$B$10:$B$15)),0)</f>
        <v>4981.6000000000004</v>
      </c>
    </row>
    <row r="166" spans="1:20" x14ac:dyDescent="0.25">
      <c r="A166">
        <v>14872</v>
      </c>
      <c r="B166" t="s">
        <v>44</v>
      </c>
      <c r="C166" t="s">
        <v>35</v>
      </c>
      <c r="D166" s="11">
        <v>2009</v>
      </c>
      <c r="E166">
        <v>10.79</v>
      </c>
      <c r="F166">
        <v>15</v>
      </c>
      <c r="G166">
        <f t="shared" si="14"/>
        <v>30135</v>
      </c>
      <c r="H166" t="s">
        <v>72</v>
      </c>
      <c r="J166" s="9">
        <v>45641</v>
      </c>
      <c r="K166" t="s">
        <v>39</v>
      </c>
      <c r="L166" t="s">
        <v>33</v>
      </c>
      <c r="M166" t="str">
        <f t="shared" si="15"/>
        <v>Private Industry</v>
      </c>
      <c r="N166" t="str">
        <f t="shared" si="16"/>
        <v>Large Order</v>
      </c>
      <c r="O166">
        <f t="shared" si="17"/>
        <v>0</v>
      </c>
      <c r="P166">
        <f t="shared" si="18"/>
        <v>0</v>
      </c>
      <c r="Q166" t="b">
        <f t="shared" si="19"/>
        <v>0</v>
      </c>
      <c r="R166">
        <f t="shared" si="20"/>
        <v>0</v>
      </c>
      <c r="S166" s="14">
        <f>_xlfn.XLOOKUP(B166,Summary!$C$10:$C$15,Summary!$B$10:$B$15)</f>
        <v>0.2</v>
      </c>
      <c r="T166">
        <f>IF(AND(H166="Yes",L166&lt;&gt;"Government"),G166*(_xlfn.XLOOKUP(B166,Summary!$C$10:$C$15,Summary!$B$10:$B$15)),0)</f>
        <v>0</v>
      </c>
    </row>
    <row r="167" spans="1:20" x14ac:dyDescent="0.25">
      <c r="A167">
        <v>70536</v>
      </c>
      <c r="B167" t="s">
        <v>43</v>
      </c>
      <c r="C167" t="s">
        <v>37</v>
      </c>
      <c r="D167" s="11">
        <v>266</v>
      </c>
      <c r="E167">
        <v>250.7</v>
      </c>
      <c r="F167">
        <v>289</v>
      </c>
      <c r="G167">
        <f t="shared" si="14"/>
        <v>76874</v>
      </c>
      <c r="H167" t="s">
        <v>72</v>
      </c>
      <c r="J167" s="9">
        <v>45222</v>
      </c>
      <c r="K167" t="s">
        <v>39</v>
      </c>
      <c r="L167" t="s">
        <v>24</v>
      </c>
      <c r="M167" t="str">
        <f t="shared" si="15"/>
        <v>Public Sector</v>
      </c>
      <c r="N167" t="str">
        <f t="shared" si="16"/>
        <v>Small Order</v>
      </c>
      <c r="O167">
        <f t="shared" si="17"/>
        <v>0</v>
      </c>
      <c r="P167">
        <f t="shared" si="18"/>
        <v>0</v>
      </c>
      <c r="Q167" t="b">
        <f t="shared" si="19"/>
        <v>0</v>
      </c>
      <c r="R167">
        <f t="shared" si="20"/>
        <v>0</v>
      </c>
      <c r="S167" s="14">
        <f>_xlfn.XLOOKUP(B167,Summary!$C$10:$C$15,Summary!$B$10:$B$15)</f>
        <v>0.21</v>
      </c>
      <c r="T167">
        <f>IF(AND(H167="Yes",L167&lt;&gt;"Government"),G167*(_xlfn.XLOOKUP(B167,Summary!$C$10:$C$15,Summary!$B$10:$B$15)),0)</f>
        <v>0</v>
      </c>
    </row>
    <row r="168" spans="1:20" x14ac:dyDescent="0.25">
      <c r="A168">
        <v>11889</v>
      </c>
      <c r="B168" t="s">
        <v>32</v>
      </c>
      <c r="C168" t="s">
        <v>38</v>
      </c>
      <c r="D168" s="11">
        <v>2876</v>
      </c>
      <c r="E168">
        <v>260.24</v>
      </c>
      <c r="F168">
        <v>344</v>
      </c>
      <c r="G168">
        <f t="shared" si="14"/>
        <v>989344</v>
      </c>
      <c r="H168" t="s">
        <v>71</v>
      </c>
      <c r="J168" s="9">
        <v>45564</v>
      </c>
      <c r="K168" t="s">
        <v>40</v>
      </c>
      <c r="L168" t="s">
        <v>24</v>
      </c>
      <c r="M168" t="str">
        <f t="shared" si="15"/>
        <v>Public Sector</v>
      </c>
      <c r="N168" t="str">
        <f t="shared" si="16"/>
        <v>Large Order</v>
      </c>
      <c r="O168">
        <f t="shared" si="17"/>
        <v>227549.12</v>
      </c>
      <c r="P168">
        <f t="shared" si="18"/>
        <v>0</v>
      </c>
      <c r="Q168" t="b">
        <f t="shared" si="19"/>
        <v>0</v>
      </c>
      <c r="R168">
        <f t="shared" si="20"/>
        <v>0</v>
      </c>
      <c r="S168" s="14">
        <f>_xlfn.XLOOKUP(B168,Summary!$C$10:$C$15,Summary!$B$10:$B$15)</f>
        <v>0.23</v>
      </c>
      <c r="T168">
        <f>IF(AND(H168="Yes",L168&lt;&gt;"Government"),G168*(_xlfn.XLOOKUP(B168,Summary!$C$10:$C$15,Summary!$B$10:$B$15)),0)</f>
        <v>0</v>
      </c>
    </row>
    <row r="169" spans="1:20" x14ac:dyDescent="0.25">
      <c r="A169">
        <v>78784</v>
      </c>
      <c r="B169" t="s">
        <v>29</v>
      </c>
      <c r="C169" t="s">
        <v>30</v>
      </c>
      <c r="D169" s="11">
        <v>1287</v>
      </c>
      <c r="E169">
        <v>5.95</v>
      </c>
      <c r="F169">
        <v>7</v>
      </c>
      <c r="G169">
        <f t="shared" si="14"/>
        <v>9009</v>
      </c>
      <c r="H169" t="s">
        <v>72</v>
      </c>
      <c r="J169" s="9">
        <v>45120</v>
      </c>
      <c r="K169" t="s">
        <v>39</v>
      </c>
      <c r="L169" t="s">
        <v>33</v>
      </c>
      <c r="M169" t="str">
        <f t="shared" si="15"/>
        <v>Private Industry</v>
      </c>
      <c r="N169" t="str">
        <f t="shared" si="16"/>
        <v>Small Order</v>
      </c>
      <c r="O169">
        <f t="shared" si="17"/>
        <v>0</v>
      </c>
      <c r="P169">
        <f t="shared" si="18"/>
        <v>0</v>
      </c>
      <c r="Q169" t="b">
        <f t="shared" si="19"/>
        <v>0</v>
      </c>
      <c r="R169">
        <f t="shared" si="20"/>
        <v>0</v>
      </c>
      <c r="S169" s="14">
        <f>_xlfn.XLOOKUP(B169,Summary!$C$10:$C$15,Summary!$B$10:$B$15)</f>
        <v>0.22</v>
      </c>
      <c r="T169">
        <f>IF(AND(H169="Yes",L169&lt;&gt;"Government"),G169*(_xlfn.XLOOKUP(B169,Summary!$C$10:$C$15,Summary!$B$10:$B$15)),0)</f>
        <v>0</v>
      </c>
    </row>
    <row r="170" spans="1:20" x14ac:dyDescent="0.25">
      <c r="A170">
        <v>90435</v>
      </c>
      <c r="B170" t="s">
        <v>27</v>
      </c>
      <c r="C170" t="s">
        <v>25</v>
      </c>
      <c r="D170" s="11">
        <v>2300</v>
      </c>
      <c r="E170">
        <v>3.93</v>
      </c>
      <c r="F170">
        <v>6</v>
      </c>
      <c r="G170">
        <f t="shared" si="14"/>
        <v>13800</v>
      </c>
      <c r="H170" t="s">
        <v>71</v>
      </c>
      <c r="J170" s="9">
        <v>45271</v>
      </c>
      <c r="K170" t="s">
        <v>41</v>
      </c>
      <c r="L170" t="s">
        <v>28</v>
      </c>
      <c r="M170" t="str">
        <f t="shared" si="15"/>
        <v>Private Industry</v>
      </c>
      <c r="N170" t="str">
        <f t="shared" si="16"/>
        <v>Large Order</v>
      </c>
      <c r="O170">
        <f t="shared" si="17"/>
        <v>3174</v>
      </c>
      <c r="P170">
        <f t="shared" si="18"/>
        <v>3174</v>
      </c>
      <c r="Q170" t="b">
        <f t="shared" si="19"/>
        <v>1</v>
      </c>
      <c r="R170">
        <f t="shared" si="20"/>
        <v>3174</v>
      </c>
      <c r="S170" s="14">
        <f>_xlfn.XLOOKUP(B170,Summary!$C$10:$C$15,Summary!$B$10:$B$15)</f>
        <v>0.19</v>
      </c>
      <c r="T170">
        <f>IF(AND(H170="Yes",L170&lt;&gt;"Government"),G170*(_xlfn.XLOOKUP(B170,Summary!$C$10:$C$15,Summary!$B$10:$B$15)),0)</f>
        <v>2622</v>
      </c>
    </row>
    <row r="171" spans="1:20" x14ac:dyDescent="0.25">
      <c r="A171">
        <v>87160</v>
      </c>
      <c r="B171" t="s">
        <v>43</v>
      </c>
      <c r="C171" t="s">
        <v>35</v>
      </c>
      <c r="D171" s="11">
        <v>1143</v>
      </c>
      <c r="E171">
        <v>10.78</v>
      </c>
      <c r="F171">
        <v>14</v>
      </c>
      <c r="G171">
        <f t="shared" si="14"/>
        <v>16002</v>
      </c>
      <c r="H171" t="s">
        <v>71</v>
      </c>
      <c r="J171" s="9">
        <v>45557</v>
      </c>
      <c r="K171" t="s">
        <v>26</v>
      </c>
      <c r="L171" t="s">
        <v>24</v>
      </c>
      <c r="M171" t="str">
        <f t="shared" si="15"/>
        <v>Public Sector</v>
      </c>
      <c r="N171" t="str">
        <f t="shared" si="16"/>
        <v>Small Order</v>
      </c>
      <c r="O171">
        <f t="shared" si="17"/>
        <v>3680.46</v>
      </c>
      <c r="P171">
        <f t="shared" si="18"/>
        <v>0</v>
      </c>
      <c r="Q171" t="b">
        <f t="shared" si="19"/>
        <v>0</v>
      </c>
      <c r="R171">
        <f t="shared" si="20"/>
        <v>0</v>
      </c>
      <c r="S171" s="14">
        <f>_xlfn.XLOOKUP(B171,Summary!$C$10:$C$15,Summary!$B$10:$B$15)</f>
        <v>0.21</v>
      </c>
      <c r="T171">
        <f>IF(AND(H171="Yes",L171&lt;&gt;"Government"),G171*(_xlfn.XLOOKUP(B171,Summary!$C$10:$C$15,Summary!$B$10:$B$15)),0)</f>
        <v>0</v>
      </c>
    </row>
    <row r="172" spans="1:20" x14ac:dyDescent="0.25">
      <c r="A172">
        <v>89813</v>
      </c>
      <c r="B172" t="s">
        <v>44</v>
      </c>
      <c r="C172" t="s">
        <v>37</v>
      </c>
      <c r="D172" s="11">
        <v>3244</v>
      </c>
      <c r="E172">
        <v>250.68</v>
      </c>
      <c r="F172">
        <v>254</v>
      </c>
      <c r="G172">
        <f t="shared" si="14"/>
        <v>823976</v>
      </c>
      <c r="H172" t="s">
        <v>71</v>
      </c>
      <c r="J172" s="9">
        <v>45457</v>
      </c>
      <c r="K172" t="s">
        <v>40</v>
      </c>
      <c r="L172" t="s">
        <v>31</v>
      </c>
      <c r="M172" t="str">
        <f t="shared" si="15"/>
        <v>Private Industry</v>
      </c>
      <c r="N172" t="str">
        <f t="shared" si="16"/>
        <v>Large Order</v>
      </c>
      <c r="O172">
        <f t="shared" si="17"/>
        <v>189514.48</v>
      </c>
      <c r="P172">
        <f t="shared" si="18"/>
        <v>189514.48</v>
      </c>
      <c r="Q172" t="b">
        <f t="shared" si="19"/>
        <v>1</v>
      </c>
      <c r="R172">
        <f t="shared" si="20"/>
        <v>189514.48</v>
      </c>
      <c r="S172" s="14">
        <f>_xlfn.XLOOKUP(B172,Summary!$C$10:$C$15,Summary!$B$10:$B$15)</f>
        <v>0.2</v>
      </c>
      <c r="T172">
        <f>IF(AND(H172="Yes",L172&lt;&gt;"Government"),G172*(_xlfn.XLOOKUP(B172,Summary!$C$10:$C$15,Summary!$B$10:$B$15)),0)</f>
        <v>164795.20000000001</v>
      </c>
    </row>
    <row r="173" spans="1:20" x14ac:dyDescent="0.25">
      <c r="A173">
        <v>42111</v>
      </c>
      <c r="B173" t="s">
        <v>27</v>
      </c>
      <c r="C173" t="s">
        <v>25</v>
      </c>
      <c r="D173" s="11">
        <v>1085</v>
      </c>
      <c r="E173">
        <v>3.06</v>
      </c>
      <c r="F173">
        <v>5</v>
      </c>
      <c r="G173">
        <f t="shared" si="14"/>
        <v>5425</v>
      </c>
      <c r="H173" t="s">
        <v>72</v>
      </c>
      <c r="J173" s="9">
        <v>45613</v>
      </c>
      <c r="K173" t="s">
        <v>41</v>
      </c>
      <c r="L173" t="s">
        <v>33</v>
      </c>
      <c r="M173" t="str">
        <f t="shared" si="15"/>
        <v>Private Industry</v>
      </c>
      <c r="N173" t="str">
        <f t="shared" si="16"/>
        <v>Small Order</v>
      </c>
      <c r="O173">
        <f t="shared" si="17"/>
        <v>0</v>
      </c>
      <c r="P173">
        <f t="shared" si="18"/>
        <v>0</v>
      </c>
      <c r="Q173" t="b">
        <f t="shared" si="19"/>
        <v>0</v>
      </c>
      <c r="R173">
        <f t="shared" si="20"/>
        <v>0</v>
      </c>
      <c r="S173" s="14">
        <f>_xlfn.XLOOKUP(B173,Summary!$C$10:$C$15,Summary!$B$10:$B$15)</f>
        <v>0.19</v>
      </c>
      <c r="T173">
        <f>IF(AND(H173="Yes",L173&lt;&gt;"Government"),G173*(_xlfn.XLOOKUP(B173,Summary!$C$10:$C$15,Summary!$B$10:$B$15)),0)</f>
        <v>0</v>
      </c>
    </row>
    <row r="174" spans="1:20" x14ac:dyDescent="0.25">
      <c r="A174">
        <v>56997</v>
      </c>
      <c r="B174" t="s">
        <v>42</v>
      </c>
      <c r="C174" t="s">
        <v>30</v>
      </c>
      <c r="D174" s="11">
        <v>2661</v>
      </c>
      <c r="E174">
        <v>5.65</v>
      </c>
      <c r="F174">
        <v>8</v>
      </c>
      <c r="G174">
        <f t="shared" si="14"/>
        <v>21288</v>
      </c>
      <c r="H174" t="s">
        <v>71</v>
      </c>
      <c r="J174" s="9">
        <v>45240</v>
      </c>
      <c r="K174" t="s">
        <v>41</v>
      </c>
      <c r="L174" t="s">
        <v>31</v>
      </c>
      <c r="M174" t="str">
        <f t="shared" si="15"/>
        <v>Private Industry</v>
      </c>
      <c r="N174" t="str">
        <f t="shared" si="16"/>
        <v>Large Order</v>
      </c>
      <c r="O174">
        <f t="shared" si="17"/>
        <v>4896.24</v>
      </c>
      <c r="P174">
        <f t="shared" si="18"/>
        <v>4896.24</v>
      </c>
      <c r="Q174" t="b">
        <f t="shared" si="19"/>
        <v>1</v>
      </c>
      <c r="R174">
        <f t="shared" si="20"/>
        <v>4896.24</v>
      </c>
      <c r="S174" s="14">
        <f>_xlfn.XLOOKUP(B174,Summary!$C$10:$C$15,Summary!$B$10:$B$15)</f>
        <v>0.24</v>
      </c>
      <c r="T174">
        <f>IF(AND(H174="Yes",L174&lt;&gt;"Government"),G174*(_xlfn.XLOOKUP(B174,Summary!$C$10:$C$15,Summary!$B$10:$B$15)),0)</f>
        <v>5109.12</v>
      </c>
    </row>
    <row r="175" spans="1:20" x14ac:dyDescent="0.25">
      <c r="A175">
        <v>20097</v>
      </c>
      <c r="B175" t="s">
        <v>44</v>
      </c>
      <c r="C175" t="s">
        <v>35</v>
      </c>
      <c r="D175" s="11">
        <v>1743</v>
      </c>
      <c r="E175">
        <v>10.33</v>
      </c>
      <c r="F175">
        <v>12</v>
      </c>
      <c r="G175">
        <f t="shared" si="14"/>
        <v>20916</v>
      </c>
      <c r="H175" t="s">
        <v>72</v>
      </c>
      <c r="J175" s="9">
        <v>45719</v>
      </c>
      <c r="K175" t="s">
        <v>41</v>
      </c>
      <c r="L175" t="s">
        <v>28</v>
      </c>
      <c r="M175" t="str">
        <f t="shared" si="15"/>
        <v>Private Industry</v>
      </c>
      <c r="N175" t="str">
        <f t="shared" si="16"/>
        <v>Large Order</v>
      </c>
      <c r="O175">
        <f t="shared" si="17"/>
        <v>0</v>
      </c>
      <c r="P175">
        <f t="shared" si="18"/>
        <v>0</v>
      </c>
      <c r="Q175" t="b">
        <f t="shared" si="19"/>
        <v>0</v>
      </c>
      <c r="R175">
        <f t="shared" si="20"/>
        <v>0</v>
      </c>
      <c r="S175" s="14">
        <f>_xlfn.XLOOKUP(B175,Summary!$C$10:$C$15,Summary!$B$10:$B$15)</f>
        <v>0.2</v>
      </c>
      <c r="T175">
        <f>IF(AND(H175="Yes",L175&lt;&gt;"Government"),G175*(_xlfn.XLOOKUP(B175,Summary!$C$10:$C$15,Summary!$B$10:$B$15)),0)</f>
        <v>0</v>
      </c>
    </row>
    <row r="176" spans="1:20" x14ac:dyDescent="0.25">
      <c r="A176">
        <v>29006</v>
      </c>
      <c r="B176" t="s">
        <v>32</v>
      </c>
      <c r="C176" t="s">
        <v>35</v>
      </c>
      <c r="D176" s="11">
        <v>2708</v>
      </c>
      <c r="E176">
        <v>10.11</v>
      </c>
      <c r="F176">
        <v>12</v>
      </c>
      <c r="G176">
        <f t="shared" si="14"/>
        <v>32496</v>
      </c>
      <c r="H176" t="s">
        <v>71</v>
      </c>
      <c r="J176" s="9">
        <v>45403</v>
      </c>
      <c r="K176" t="s">
        <v>41</v>
      </c>
      <c r="L176" t="s">
        <v>24</v>
      </c>
      <c r="M176" t="str">
        <f t="shared" si="15"/>
        <v>Public Sector</v>
      </c>
      <c r="N176" t="str">
        <f t="shared" si="16"/>
        <v>Large Order</v>
      </c>
      <c r="O176">
        <f t="shared" si="17"/>
        <v>7474.08</v>
      </c>
      <c r="P176">
        <f t="shared" si="18"/>
        <v>0</v>
      </c>
      <c r="Q176" t="b">
        <f t="shared" si="19"/>
        <v>0</v>
      </c>
      <c r="R176">
        <f t="shared" si="20"/>
        <v>0</v>
      </c>
      <c r="S176" s="14">
        <f>_xlfn.XLOOKUP(B176,Summary!$C$10:$C$15,Summary!$B$10:$B$15)</f>
        <v>0.23</v>
      </c>
      <c r="T176">
        <f>IF(AND(H176="Yes",L176&lt;&gt;"Government"),G176*(_xlfn.XLOOKUP(B176,Summary!$C$10:$C$15,Summary!$B$10:$B$15)),0)</f>
        <v>0</v>
      </c>
    </row>
    <row r="177" spans="1:20" x14ac:dyDescent="0.25">
      <c r="A177">
        <v>28077</v>
      </c>
      <c r="B177" t="s">
        <v>43</v>
      </c>
      <c r="C177" t="s">
        <v>25</v>
      </c>
      <c r="D177" s="11">
        <v>1010</v>
      </c>
      <c r="E177">
        <v>3.05</v>
      </c>
      <c r="F177">
        <v>4</v>
      </c>
      <c r="G177">
        <f t="shared" si="14"/>
        <v>4040</v>
      </c>
      <c r="H177" t="s">
        <v>71</v>
      </c>
      <c r="J177" s="9">
        <v>45266</v>
      </c>
      <c r="K177" t="s">
        <v>41</v>
      </c>
      <c r="L177" t="s">
        <v>34</v>
      </c>
      <c r="M177" t="str">
        <f t="shared" si="15"/>
        <v>Private Industry</v>
      </c>
      <c r="N177" t="str">
        <f t="shared" si="16"/>
        <v>Small Order</v>
      </c>
      <c r="O177">
        <f t="shared" si="17"/>
        <v>929.2</v>
      </c>
      <c r="P177">
        <f t="shared" si="18"/>
        <v>929.2</v>
      </c>
      <c r="Q177" t="b">
        <f t="shared" si="19"/>
        <v>1</v>
      </c>
      <c r="R177">
        <f t="shared" si="20"/>
        <v>929.2</v>
      </c>
      <c r="S177" s="14">
        <f>_xlfn.XLOOKUP(B177,Summary!$C$10:$C$15,Summary!$B$10:$B$15)</f>
        <v>0.21</v>
      </c>
      <c r="T177">
        <f>IF(AND(H177="Yes",L177&lt;&gt;"Government"),G177*(_xlfn.XLOOKUP(B177,Summary!$C$10:$C$15,Summary!$B$10:$B$15)),0)</f>
        <v>848.4</v>
      </c>
    </row>
    <row r="178" spans="1:20" x14ac:dyDescent="0.25">
      <c r="A178">
        <v>53305</v>
      </c>
      <c r="B178" t="s">
        <v>32</v>
      </c>
      <c r="C178" t="s">
        <v>35</v>
      </c>
      <c r="D178" s="11">
        <v>591</v>
      </c>
      <c r="E178">
        <v>10.220000000000001</v>
      </c>
      <c r="F178">
        <v>15</v>
      </c>
      <c r="G178">
        <f t="shared" si="14"/>
        <v>8865</v>
      </c>
      <c r="H178" t="s">
        <v>72</v>
      </c>
      <c r="J178" s="9">
        <v>45737</v>
      </c>
      <c r="K178" t="s">
        <v>41</v>
      </c>
      <c r="L178" t="s">
        <v>34</v>
      </c>
      <c r="M178" t="str">
        <f t="shared" si="15"/>
        <v>Private Industry</v>
      </c>
      <c r="N178" t="str">
        <f t="shared" si="16"/>
        <v>Small Order</v>
      </c>
      <c r="O178">
        <f t="shared" si="17"/>
        <v>0</v>
      </c>
      <c r="P178">
        <f t="shared" si="18"/>
        <v>0</v>
      </c>
      <c r="Q178" t="b">
        <f t="shared" si="19"/>
        <v>0</v>
      </c>
      <c r="R178">
        <f t="shared" si="20"/>
        <v>0</v>
      </c>
      <c r="S178" s="14">
        <f>_xlfn.XLOOKUP(B178,Summary!$C$10:$C$15,Summary!$B$10:$B$15)</f>
        <v>0.23</v>
      </c>
      <c r="T178">
        <f>IF(AND(H178="Yes",L178&lt;&gt;"Government"),G178*(_xlfn.XLOOKUP(B178,Summary!$C$10:$C$15,Summary!$B$10:$B$15)),0)</f>
        <v>0</v>
      </c>
    </row>
    <row r="179" spans="1:20" x14ac:dyDescent="0.25">
      <c r="A179">
        <v>51955</v>
      </c>
      <c r="B179" t="s">
        <v>43</v>
      </c>
      <c r="C179" t="s">
        <v>38</v>
      </c>
      <c r="D179" s="11">
        <v>2015</v>
      </c>
      <c r="E179">
        <v>260.26</v>
      </c>
      <c r="F179">
        <v>305</v>
      </c>
      <c r="G179">
        <f t="shared" si="14"/>
        <v>614575</v>
      </c>
      <c r="H179" t="s">
        <v>71</v>
      </c>
      <c r="J179" s="9">
        <v>45507</v>
      </c>
      <c r="K179" t="s">
        <v>41</v>
      </c>
      <c r="L179" t="s">
        <v>31</v>
      </c>
      <c r="M179" t="str">
        <f t="shared" si="15"/>
        <v>Private Industry</v>
      </c>
      <c r="N179" t="str">
        <f t="shared" si="16"/>
        <v>Large Order</v>
      </c>
      <c r="O179">
        <f t="shared" si="17"/>
        <v>141352.25</v>
      </c>
      <c r="P179">
        <f t="shared" si="18"/>
        <v>141352.25</v>
      </c>
      <c r="Q179" t="b">
        <f t="shared" si="19"/>
        <v>1</v>
      </c>
      <c r="R179">
        <f t="shared" si="20"/>
        <v>141352.25</v>
      </c>
      <c r="S179" s="14">
        <f>_xlfn.XLOOKUP(B179,Summary!$C$10:$C$15,Summary!$B$10:$B$15)</f>
        <v>0.21</v>
      </c>
      <c r="T179">
        <f>IF(AND(H179="Yes",L179&lt;&gt;"Government"),G179*(_xlfn.XLOOKUP(B179,Summary!$C$10:$C$15,Summary!$B$10:$B$15)),0)</f>
        <v>129060.75</v>
      </c>
    </row>
    <row r="180" spans="1:20" x14ac:dyDescent="0.25">
      <c r="A180">
        <v>43004</v>
      </c>
      <c r="B180" t="s">
        <v>44</v>
      </c>
      <c r="C180" t="s">
        <v>35</v>
      </c>
      <c r="D180" s="11">
        <v>723</v>
      </c>
      <c r="E180">
        <v>10.31</v>
      </c>
      <c r="F180">
        <v>12</v>
      </c>
      <c r="G180">
        <f t="shared" si="14"/>
        <v>8676</v>
      </c>
      <c r="H180" t="s">
        <v>72</v>
      </c>
      <c r="J180" s="9">
        <v>45445</v>
      </c>
      <c r="K180" t="s">
        <v>41</v>
      </c>
      <c r="L180" t="s">
        <v>24</v>
      </c>
      <c r="M180" t="str">
        <f t="shared" si="15"/>
        <v>Public Sector</v>
      </c>
      <c r="N180" t="str">
        <f t="shared" si="16"/>
        <v>Small Order</v>
      </c>
      <c r="O180">
        <f t="shared" si="17"/>
        <v>0</v>
      </c>
      <c r="P180">
        <f t="shared" si="18"/>
        <v>0</v>
      </c>
      <c r="Q180" t="b">
        <f t="shared" si="19"/>
        <v>0</v>
      </c>
      <c r="R180">
        <f t="shared" si="20"/>
        <v>0</v>
      </c>
      <c r="S180" s="14">
        <f>_xlfn.XLOOKUP(B180,Summary!$C$10:$C$15,Summary!$B$10:$B$15)</f>
        <v>0.2</v>
      </c>
      <c r="T180">
        <f>IF(AND(H180="Yes",L180&lt;&gt;"Government"),G180*(_xlfn.XLOOKUP(B180,Summary!$C$10:$C$15,Summary!$B$10:$B$15)),0)</f>
        <v>0</v>
      </c>
    </row>
    <row r="181" spans="1:20" x14ac:dyDescent="0.25">
      <c r="A181">
        <v>17015</v>
      </c>
      <c r="B181" t="s">
        <v>32</v>
      </c>
      <c r="C181" t="s">
        <v>35</v>
      </c>
      <c r="D181" s="11">
        <v>747</v>
      </c>
      <c r="E181">
        <v>10.8</v>
      </c>
      <c r="F181">
        <v>13</v>
      </c>
      <c r="G181">
        <f t="shared" si="14"/>
        <v>9711</v>
      </c>
      <c r="H181" t="s">
        <v>72</v>
      </c>
      <c r="J181" s="9">
        <v>45288</v>
      </c>
      <c r="K181" t="s">
        <v>39</v>
      </c>
      <c r="L181" t="s">
        <v>28</v>
      </c>
      <c r="M181" t="str">
        <f t="shared" si="15"/>
        <v>Private Industry</v>
      </c>
      <c r="N181" t="str">
        <f t="shared" si="16"/>
        <v>Small Order</v>
      </c>
      <c r="O181">
        <f t="shared" si="17"/>
        <v>0</v>
      </c>
      <c r="P181">
        <f t="shared" si="18"/>
        <v>0</v>
      </c>
      <c r="Q181" t="b">
        <f t="shared" si="19"/>
        <v>0</v>
      </c>
      <c r="R181">
        <f t="shared" si="20"/>
        <v>0</v>
      </c>
      <c r="S181" s="14">
        <f>_xlfn.XLOOKUP(B181,Summary!$C$10:$C$15,Summary!$B$10:$B$15)</f>
        <v>0.23</v>
      </c>
      <c r="T181">
        <f>IF(AND(H181="Yes",L181&lt;&gt;"Government"),G181*(_xlfn.XLOOKUP(B181,Summary!$C$10:$C$15,Summary!$B$10:$B$15)),0)</f>
        <v>0</v>
      </c>
    </row>
    <row r="182" spans="1:20" x14ac:dyDescent="0.25">
      <c r="A182">
        <v>12118</v>
      </c>
      <c r="B182" t="s">
        <v>27</v>
      </c>
      <c r="C182" t="s">
        <v>30</v>
      </c>
      <c r="D182" s="11">
        <v>1159</v>
      </c>
      <c r="E182">
        <v>5.75</v>
      </c>
      <c r="F182">
        <v>9</v>
      </c>
      <c r="G182">
        <f t="shared" si="14"/>
        <v>10431</v>
      </c>
      <c r="H182" t="s">
        <v>71</v>
      </c>
      <c r="J182" s="9">
        <v>45566</v>
      </c>
      <c r="K182" t="s">
        <v>40</v>
      </c>
      <c r="L182" t="s">
        <v>24</v>
      </c>
      <c r="M182" t="str">
        <f t="shared" si="15"/>
        <v>Public Sector</v>
      </c>
      <c r="N182" t="str">
        <f t="shared" si="16"/>
        <v>Small Order</v>
      </c>
      <c r="O182">
        <f t="shared" si="17"/>
        <v>2399.13</v>
      </c>
      <c r="P182">
        <f t="shared" si="18"/>
        <v>0</v>
      </c>
      <c r="Q182" t="b">
        <f t="shared" si="19"/>
        <v>0</v>
      </c>
      <c r="R182">
        <f t="shared" si="20"/>
        <v>0</v>
      </c>
      <c r="S182" s="14">
        <f>_xlfn.XLOOKUP(B182,Summary!$C$10:$C$15,Summary!$B$10:$B$15)</f>
        <v>0.19</v>
      </c>
      <c r="T182">
        <f>IF(AND(H182="Yes",L182&lt;&gt;"Government"),G182*(_xlfn.XLOOKUP(B182,Summary!$C$10:$C$15,Summary!$B$10:$B$15)),0)</f>
        <v>0</v>
      </c>
    </row>
    <row r="183" spans="1:20" x14ac:dyDescent="0.25">
      <c r="A183">
        <v>16474</v>
      </c>
      <c r="B183" t="s">
        <v>27</v>
      </c>
      <c r="C183" t="s">
        <v>35</v>
      </c>
      <c r="D183" s="11">
        <v>1366</v>
      </c>
      <c r="E183">
        <v>10.8</v>
      </c>
      <c r="F183">
        <v>12</v>
      </c>
      <c r="G183">
        <f t="shared" si="14"/>
        <v>16392</v>
      </c>
      <c r="H183" t="s">
        <v>71</v>
      </c>
      <c r="J183" s="9">
        <v>45503</v>
      </c>
      <c r="K183" t="s">
        <v>40</v>
      </c>
      <c r="L183" t="s">
        <v>24</v>
      </c>
      <c r="M183" t="str">
        <f t="shared" si="15"/>
        <v>Public Sector</v>
      </c>
      <c r="N183" t="str">
        <f t="shared" si="16"/>
        <v>Small Order</v>
      </c>
      <c r="O183">
        <f t="shared" si="17"/>
        <v>3770.1600000000003</v>
      </c>
      <c r="P183">
        <f t="shared" si="18"/>
        <v>0</v>
      </c>
      <c r="Q183" t="b">
        <f t="shared" si="19"/>
        <v>0</v>
      </c>
      <c r="R183">
        <f t="shared" si="20"/>
        <v>0</v>
      </c>
      <c r="S183" s="14">
        <f>_xlfn.XLOOKUP(B183,Summary!$C$10:$C$15,Summary!$B$10:$B$15)</f>
        <v>0.19</v>
      </c>
      <c r="T183">
        <f>IF(AND(H183="Yes",L183&lt;&gt;"Government"),G183*(_xlfn.XLOOKUP(B183,Summary!$C$10:$C$15,Summary!$B$10:$B$15)),0)</f>
        <v>0</v>
      </c>
    </row>
    <row r="184" spans="1:20" x14ac:dyDescent="0.25">
      <c r="A184">
        <v>24496</v>
      </c>
      <c r="B184" t="s">
        <v>29</v>
      </c>
      <c r="C184" t="s">
        <v>35</v>
      </c>
      <c r="D184" s="11">
        <v>448</v>
      </c>
      <c r="E184">
        <v>10.92</v>
      </c>
      <c r="F184">
        <v>14</v>
      </c>
      <c r="G184">
        <f t="shared" si="14"/>
        <v>6272</v>
      </c>
      <c r="H184" t="s">
        <v>72</v>
      </c>
      <c r="J184" s="9">
        <v>45595</v>
      </c>
      <c r="K184" t="s">
        <v>40</v>
      </c>
      <c r="L184" t="s">
        <v>34</v>
      </c>
      <c r="M184" t="str">
        <f t="shared" si="15"/>
        <v>Private Industry</v>
      </c>
      <c r="N184" t="str">
        <f t="shared" si="16"/>
        <v>Small Order</v>
      </c>
      <c r="O184">
        <f t="shared" si="17"/>
        <v>0</v>
      </c>
      <c r="P184">
        <f t="shared" si="18"/>
        <v>0</v>
      </c>
      <c r="Q184" t="b">
        <f t="shared" si="19"/>
        <v>0</v>
      </c>
      <c r="R184">
        <f t="shared" si="20"/>
        <v>0</v>
      </c>
      <c r="S184" s="14">
        <f>_xlfn.XLOOKUP(B184,Summary!$C$10:$C$15,Summary!$B$10:$B$15)</f>
        <v>0.22</v>
      </c>
      <c r="T184">
        <f>IF(AND(H184="Yes",L184&lt;&gt;"Government"),G184*(_xlfn.XLOOKUP(B184,Summary!$C$10:$C$15,Summary!$B$10:$B$15)),0)</f>
        <v>0</v>
      </c>
    </row>
    <row r="185" spans="1:20" x14ac:dyDescent="0.25">
      <c r="A185">
        <v>53800</v>
      </c>
      <c r="B185" t="s">
        <v>32</v>
      </c>
      <c r="C185" t="s">
        <v>36</v>
      </c>
      <c r="D185" s="11">
        <v>1545</v>
      </c>
      <c r="E185">
        <v>120.29</v>
      </c>
      <c r="F185">
        <v>171</v>
      </c>
      <c r="G185">
        <f t="shared" si="14"/>
        <v>264195</v>
      </c>
      <c r="H185" t="s">
        <v>72</v>
      </c>
      <c r="J185" s="9">
        <v>45584</v>
      </c>
      <c r="K185" t="s">
        <v>26</v>
      </c>
      <c r="L185" t="s">
        <v>31</v>
      </c>
      <c r="M185" t="str">
        <f t="shared" si="15"/>
        <v>Private Industry</v>
      </c>
      <c r="N185" t="str">
        <f t="shared" si="16"/>
        <v>Large Order</v>
      </c>
      <c r="O185">
        <f t="shared" si="17"/>
        <v>0</v>
      </c>
      <c r="P185">
        <f t="shared" si="18"/>
        <v>0</v>
      </c>
      <c r="Q185" t="b">
        <f t="shared" si="19"/>
        <v>0</v>
      </c>
      <c r="R185">
        <f t="shared" si="20"/>
        <v>0</v>
      </c>
      <c r="S185" s="14">
        <f>_xlfn.XLOOKUP(B185,Summary!$C$10:$C$15,Summary!$B$10:$B$15)</f>
        <v>0.23</v>
      </c>
      <c r="T185">
        <f>IF(AND(H185="Yes",L185&lt;&gt;"Government"),G185*(_xlfn.XLOOKUP(B185,Summary!$C$10:$C$15,Summary!$B$10:$B$15)),0)</f>
        <v>0</v>
      </c>
    </row>
    <row r="186" spans="1:20" x14ac:dyDescent="0.25">
      <c r="A186">
        <v>87427</v>
      </c>
      <c r="B186" t="s">
        <v>27</v>
      </c>
      <c r="C186" t="s">
        <v>37</v>
      </c>
      <c r="D186" s="11">
        <v>552</v>
      </c>
      <c r="E186">
        <v>250.92</v>
      </c>
      <c r="F186">
        <v>314</v>
      </c>
      <c r="G186">
        <f t="shared" si="14"/>
        <v>173328</v>
      </c>
      <c r="H186" t="s">
        <v>72</v>
      </c>
      <c r="J186" s="9">
        <v>45779</v>
      </c>
      <c r="K186" t="s">
        <v>41</v>
      </c>
      <c r="L186" t="s">
        <v>33</v>
      </c>
      <c r="M186" t="str">
        <f t="shared" si="15"/>
        <v>Private Industry</v>
      </c>
      <c r="N186" t="str">
        <f t="shared" si="16"/>
        <v>Small Order</v>
      </c>
      <c r="O186">
        <f t="shared" si="17"/>
        <v>0</v>
      </c>
      <c r="P186">
        <f t="shared" si="18"/>
        <v>0</v>
      </c>
      <c r="Q186" t="b">
        <f t="shared" si="19"/>
        <v>0</v>
      </c>
      <c r="R186">
        <f t="shared" si="20"/>
        <v>0</v>
      </c>
      <c r="S186" s="14">
        <f>_xlfn.XLOOKUP(B186,Summary!$C$10:$C$15,Summary!$B$10:$B$15)</f>
        <v>0.19</v>
      </c>
      <c r="T186">
        <f>IF(AND(H186="Yes",L186&lt;&gt;"Government"),G186*(_xlfn.XLOOKUP(B186,Summary!$C$10:$C$15,Summary!$B$10:$B$15)),0)</f>
        <v>0</v>
      </c>
    </row>
    <row r="187" spans="1:20" x14ac:dyDescent="0.25">
      <c r="A187">
        <v>65221</v>
      </c>
      <c r="B187" t="s">
        <v>32</v>
      </c>
      <c r="C187" t="s">
        <v>37</v>
      </c>
      <c r="D187" s="11">
        <v>2387</v>
      </c>
      <c r="E187">
        <v>250.3</v>
      </c>
      <c r="F187">
        <v>346</v>
      </c>
      <c r="G187">
        <f t="shared" si="14"/>
        <v>825902</v>
      </c>
      <c r="H187" t="s">
        <v>72</v>
      </c>
      <c r="J187" s="9">
        <v>45426</v>
      </c>
      <c r="K187" t="s">
        <v>41</v>
      </c>
      <c r="L187" t="s">
        <v>33</v>
      </c>
      <c r="M187" t="str">
        <f t="shared" si="15"/>
        <v>Private Industry</v>
      </c>
      <c r="N187" t="str">
        <f t="shared" si="16"/>
        <v>Large Order</v>
      </c>
      <c r="O187">
        <f t="shared" si="17"/>
        <v>0</v>
      </c>
      <c r="P187">
        <f t="shared" si="18"/>
        <v>0</v>
      </c>
      <c r="Q187" t="b">
        <f t="shared" si="19"/>
        <v>0</v>
      </c>
      <c r="R187">
        <f t="shared" si="20"/>
        <v>0</v>
      </c>
      <c r="S187" s="14">
        <f>_xlfn.XLOOKUP(B187,Summary!$C$10:$C$15,Summary!$B$10:$B$15)</f>
        <v>0.23</v>
      </c>
      <c r="T187">
        <f>IF(AND(H187="Yes",L187&lt;&gt;"Government"),G187*(_xlfn.XLOOKUP(B187,Summary!$C$10:$C$15,Summary!$B$10:$B$15)),0)</f>
        <v>0</v>
      </c>
    </row>
    <row r="188" spans="1:20" x14ac:dyDescent="0.25">
      <c r="A188">
        <v>59564</v>
      </c>
      <c r="B188" t="s">
        <v>42</v>
      </c>
      <c r="C188" t="s">
        <v>25</v>
      </c>
      <c r="D188" s="11">
        <v>562</v>
      </c>
      <c r="E188">
        <v>3.79</v>
      </c>
      <c r="F188">
        <v>5</v>
      </c>
      <c r="G188">
        <f t="shared" si="14"/>
        <v>2810</v>
      </c>
      <c r="H188" t="s">
        <v>72</v>
      </c>
      <c r="J188" s="9">
        <v>45460</v>
      </c>
      <c r="K188" t="s">
        <v>40</v>
      </c>
      <c r="L188" t="s">
        <v>31</v>
      </c>
      <c r="M188" t="str">
        <f t="shared" si="15"/>
        <v>Private Industry</v>
      </c>
      <c r="N188" t="str">
        <f t="shared" si="16"/>
        <v>Small Order</v>
      </c>
      <c r="O188">
        <f t="shared" si="17"/>
        <v>0</v>
      </c>
      <c r="P188">
        <f t="shared" si="18"/>
        <v>0</v>
      </c>
      <c r="Q188" t="b">
        <f t="shared" si="19"/>
        <v>0</v>
      </c>
      <c r="R188">
        <f t="shared" si="20"/>
        <v>0</v>
      </c>
      <c r="S188" s="14">
        <f>_xlfn.XLOOKUP(B188,Summary!$C$10:$C$15,Summary!$B$10:$B$15)</f>
        <v>0.24</v>
      </c>
      <c r="T188">
        <f>IF(AND(H188="Yes",L188&lt;&gt;"Government"),G188*(_xlfn.XLOOKUP(B188,Summary!$C$10:$C$15,Summary!$B$10:$B$15)),0)</f>
        <v>0</v>
      </c>
    </row>
    <row r="189" spans="1:20" x14ac:dyDescent="0.25">
      <c r="A189">
        <v>48363</v>
      </c>
      <c r="B189" t="s">
        <v>32</v>
      </c>
      <c r="C189" t="s">
        <v>35</v>
      </c>
      <c r="D189" s="11">
        <v>1369</v>
      </c>
      <c r="E189">
        <v>10.35</v>
      </c>
      <c r="F189">
        <v>11</v>
      </c>
      <c r="G189">
        <f t="shared" si="14"/>
        <v>15059</v>
      </c>
      <c r="H189" t="s">
        <v>72</v>
      </c>
      <c r="J189" s="9">
        <v>45658</v>
      </c>
      <c r="K189" t="s">
        <v>39</v>
      </c>
      <c r="L189" t="s">
        <v>31</v>
      </c>
      <c r="M189" t="str">
        <f t="shared" si="15"/>
        <v>Private Industry</v>
      </c>
      <c r="N189" t="str">
        <f t="shared" si="16"/>
        <v>Small Order</v>
      </c>
      <c r="O189">
        <f t="shared" si="17"/>
        <v>0</v>
      </c>
      <c r="P189">
        <f t="shared" si="18"/>
        <v>0</v>
      </c>
      <c r="Q189" t="b">
        <f t="shared" si="19"/>
        <v>0</v>
      </c>
      <c r="R189">
        <f t="shared" si="20"/>
        <v>0</v>
      </c>
      <c r="S189" s="14">
        <f>_xlfn.XLOOKUP(B189,Summary!$C$10:$C$15,Summary!$B$10:$B$15)</f>
        <v>0.23</v>
      </c>
      <c r="T189">
        <f>IF(AND(H189="Yes",L189&lt;&gt;"Government"),G189*(_xlfn.XLOOKUP(B189,Summary!$C$10:$C$15,Summary!$B$10:$B$15)),0)</f>
        <v>0</v>
      </c>
    </row>
    <row r="190" spans="1:20" x14ac:dyDescent="0.25">
      <c r="A190">
        <v>25283</v>
      </c>
      <c r="B190" t="s">
        <v>29</v>
      </c>
      <c r="C190" t="s">
        <v>35</v>
      </c>
      <c r="D190" s="11">
        <v>787</v>
      </c>
      <c r="E190">
        <v>10.43</v>
      </c>
      <c r="F190">
        <v>14</v>
      </c>
      <c r="G190">
        <f t="shared" si="14"/>
        <v>11018</v>
      </c>
      <c r="H190" t="s">
        <v>71</v>
      </c>
      <c r="J190" s="9">
        <v>45200</v>
      </c>
      <c r="K190" t="s">
        <v>39</v>
      </c>
      <c r="L190" t="s">
        <v>33</v>
      </c>
      <c r="M190" t="str">
        <f t="shared" si="15"/>
        <v>Private Industry</v>
      </c>
      <c r="N190" t="str">
        <f t="shared" si="16"/>
        <v>Small Order</v>
      </c>
      <c r="O190">
        <f t="shared" si="17"/>
        <v>2534.1400000000003</v>
      </c>
      <c r="P190">
        <f t="shared" si="18"/>
        <v>2534.1400000000003</v>
      </c>
      <c r="Q190" t="b">
        <f t="shared" si="19"/>
        <v>1</v>
      </c>
      <c r="R190">
        <f t="shared" si="20"/>
        <v>2534.1400000000003</v>
      </c>
      <c r="S190" s="14">
        <f>_xlfn.XLOOKUP(B190,Summary!$C$10:$C$15,Summary!$B$10:$B$15)</f>
        <v>0.22</v>
      </c>
      <c r="T190">
        <f>IF(AND(H190="Yes",L190&lt;&gt;"Government"),G190*(_xlfn.XLOOKUP(B190,Summary!$C$10:$C$15,Summary!$B$10:$B$15)),0)</f>
        <v>2423.96</v>
      </c>
    </row>
    <row r="191" spans="1:20" x14ac:dyDescent="0.25">
      <c r="A191">
        <v>64885</v>
      </c>
      <c r="B191" t="s">
        <v>44</v>
      </c>
      <c r="C191" t="s">
        <v>35</v>
      </c>
      <c r="D191" s="11">
        <v>2152</v>
      </c>
      <c r="E191">
        <v>10.119999999999999</v>
      </c>
      <c r="F191">
        <v>14</v>
      </c>
      <c r="G191">
        <f t="shared" si="14"/>
        <v>30128</v>
      </c>
      <c r="H191" t="s">
        <v>72</v>
      </c>
      <c r="J191" s="9">
        <v>45374</v>
      </c>
      <c r="K191" t="s">
        <v>26</v>
      </c>
      <c r="L191" t="s">
        <v>28</v>
      </c>
      <c r="M191" t="str">
        <f t="shared" si="15"/>
        <v>Private Industry</v>
      </c>
      <c r="N191" t="str">
        <f t="shared" si="16"/>
        <v>Large Order</v>
      </c>
      <c r="O191">
        <f t="shared" si="17"/>
        <v>0</v>
      </c>
      <c r="P191">
        <f t="shared" si="18"/>
        <v>0</v>
      </c>
      <c r="Q191" t="b">
        <f t="shared" si="19"/>
        <v>0</v>
      </c>
      <c r="R191">
        <f t="shared" si="20"/>
        <v>0</v>
      </c>
      <c r="S191" s="14">
        <f>_xlfn.XLOOKUP(B191,Summary!$C$10:$C$15,Summary!$B$10:$B$15)</f>
        <v>0.2</v>
      </c>
      <c r="T191">
        <f>IF(AND(H191="Yes",L191&lt;&gt;"Government"),G191*(_xlfn.XLOOKUP(B191,Summary!$C$10:$C$15,Summary!$B$10:$B$15)),0)</f>
        <v>0</v>
      </c>
    </row>
    <row r="192" spans="1:20" x14ac:dyDescent="0.25">
      <c r="A192">
        <v>21823</v>
      </c>
      <c r="B192" t="s">
        <v>32</v>
      </c>
      <c r="C192" t="s">
        <v>37</v>
      </c>
      <c r="D192" s="11">
        <v>2729</v>
      </c>
      <c r="E192">
        <v>250.81</v>
      </c>
      <c r="F192">
        <v>317</v>
      </c>
      <c r="G192">
        <f t="shared" si="14"/>
        <v>865093</v>
      </c>
      <c r="H192" t="s">
        <v>71</v>
      </c>
      <c r="J192" s="9">
        <v>45610</v>
      </c>
      <c r="K192" t="s">
        <v>39</v>
      </c>
      <c r="L192" t="s">
        <v>33</v>
      </c>
      <c r="M192" t="str">
        <f t="shared" si="15"/>
        <v>Private Industry</v>
      </c>
      <c r="N192" t="str">
        <f t="shared" si="16"/>
        <v>Large Order</v>
      </c>
      <c r="O192">
        <f t="shared" si="17"/>
        <v>198971.39</v>
      </c>
      <c r="P192">
        <f t="shared" si="18"/>
        <v>198971.39</v>
      </c>
      <c r="Q192" t="b">
        <f t="shared" si="19"/>
        <v>1</v>
      </c>
      <c r="R192">
        <f t="shared" si="20"/>
        <v>198971.39</v>
      </c>
      <c r="S192" s="14">
        <f>_xlfn.XLOOKUP(B192,Summary!$C$10:$C$15,Summary!$B$10:$B$15)</f>
        <v>0.23</v>
      </c>
      <c r="T192">
        <f>IF(AND(H192="Yes",L192&lt;&gt;"Government"),G192*(_xlfn.XLOOKUP(B192,Summary!$C$10:$C$15,Summary!$B$10:$B$15)),0)</f>
        <v>198971.39</v>
      </c>
    </row>
    <row r="193" spans="1:20" x14ac:dyDescent="0.25">
      <c r="A193">
        <v>15439</v>
      </c>
      <c r="B193" t="s">
        <v>29</v>
      </c>
      <c r="C193" t="s">
        <v>35</v>
      </c>
      <c r="D193" s="11">
        <v>2696</v>
      </c>
      <c r="E193">
        <v>10.34</v>
      </c>
      <c r="F193">
        <v>14</v>
      </c>
      <c r="G193">
        <f t="shared" si="14"/>
        <v>37744</v>
      </c>
      <c r="H193" t="s">
        <v>72</v>
      </c>
      <c r="J193" s="9">
        <v>45730</v>
      </c>
      <c r="K193" t="s">
        <v>41</v>
      </c>
      <c r="L193" t="s">
        <v>24</v>
      </c>
      <c r="M193" t="str">
        <f t="shared" si="15"/>
        <v>Public Sector</v>
      </c>
      <c r="N193" t="str">
        <f t="shared" si="16"/>
        <v>Large Order</v>
      </c>
      <c r="O193">
        <f t="shared" si="17"/>
        <v>0</v>
      </c>
      <c r="P193">
        <f t="shared" si="18"/>
        <v>0</v>
      </c>
      <c r="Q193" t="b">
        <f t="shared" si="19"/>
        <v>0</v>
      </c>
      <c r="R193">
        <f t="shared" si="20"/>
        <v>0</v>
      </c>
      <c r="S193" s="14">
        <f>_xlfn.XLOOKUP(B193,Summary!$C$10:$C$15,Summary!$B$10:$B$15)</f>
        <v>0.22</v>
      </c>
      <c r="T193">
        <f>IF(AND(H193="Yes",L193&lt;&gt;"Government"),G193*(_xlfn.XLOOKUP(B193,Summary!$C$10:$C$15,Summary!$B$10:$B$15)),0)</f>
        <v>0</v>
      </c>
    </row>
    <row r="194" spans="1:20" x14ac:dyDescent="0.25">
      <c r="A194">
        <v>67588</v>
      </c>
      <c r="B194" t="s">
        <v>27</v>
      </c>
      <c r="C194" t="s">
        <v>37</v>
      </c>
      <c r="D194" s="11">
        <v>2479</v>
      </c>
      <c r="E194">
        <v>250.54</v>
      </c>
      <c r="F194">
        <v>276</v>
      </c>
      <c r="G194">
        <f t="shared" si="14"/>
        <v>684204</v>
      </c>
      <c r="H194" t="s">
        <v>72</v>
      </c>
      <c r="J194" s="9">
        <v>45234</v>
      </c>
      <c r="K194" t="s">
        <v>39</v>
      </c>
      <c r="L194" t="s">
        <v>31</v>
      </c>
      <c r="M194" t="str">
        <f t="shared" si="15"/>
        <v>Private Industry</v>
      </c>
      <c r="N194" t="str">
        <f t="shared" si="16"/>
        <v>Large Order</v>
      </c>
      <c r="O194">
        <f t="shared" si="17"/>
        <v>0</v>
      </c>
      <c r="P194">
        <f t="shared" si="18"/>
        <v>0</v>
      </c>
      <c r="Q194" t="b">
        <f t="shared" si="19"/>
        <v>0</v>
      </c>
      <c r="R194">
        <f t="shared" si="20"/>
        <v>0</v>
      </c>
      <c r="S194" s="14">
        <f>_xlfn.XLOOKUP(B194,Summary!$C$10:$C$15,Summary!$B$10:$B$15)</f>
        <v>0.19</v>
      </c>
      <c r="T194">
        <f>IF(AND(H194="Yes",L194&lt;&gt;"Government"),G194*(_xlfn.XLOOKUP(B194,Summary!$C$10:$C$15,Summary!$B$10:$B$15)),0)</f>
        <v>0</v>
      </c>
    </row>
    <row r="195" spans="1:20" x14ac:dyDescent="0.25">
      <c r="A195">
        <v>70682</v>
      </c>
      <c r="B195" t="s">
        <v>29</v>
      </c>
      <c r="C195" t="s">
        <v>37</v>
      </c>
      <c r="D195" s="11">
        <v>1281</v>
      </c>
      <c r="E195">
        <v>250.68</v>
      </c>
      <c r="F195">
        <v>349</v>
      </c>
      <c r="G195">
        <f t="shared" ref="G195:G258" si="21">D195*F195</f>
        <v>447069</v>
      </c>
      <c r="H195" t="s">
        <v>72</v>
      </c>
      <c r="J195" s="9">
        <v>45284</v>
      </c>
      <c r="K195" t="s">
        <v>41</v>
      </c>
      <c r="L195" t="s">
        <v>24</v>
      </c>
      <c r="M195" t="str">
        <f t="shared" ref="M195:M258" si="22">IF(L195="Government","Public Sector","Private Industry")</f>
        <v>Public Sector</v>
      </c>
      <c r="N195" t="str">
        <f t="shared" ref="N195:N258" si="23">IF(D195&gt;1500,"Large Order","Small Order")</f>
        <v>Small Order</v>
      </c>
      <c r="O195">
        <f t="shared" ref="O195:O258" si="24">IF(H195="Yes",G195*0.23,0)</f>
        <v>0</v>
      </c>
      <c r="P195">
        <f t="shared" ref="P195:P258" si="25">IF(Q195,G195*0.23,0)</f>
        <v>0</v>
      </c>
      <c r="Q195" t="b">
        <f t="shared" ref="Q195:Q258" si="26">AND(H195="Yes",L195&lt;&gt;"Government")</f>
        <v>0</v>
      </c>
      <c r="R195">
        <f t="shared" ref="R195:R258" si="27">IF(AND(H195="Yes",L195&lt;&gt;"Government"),G195*0.23,0)</f>
        <v>0</v>
      </c>
      <c r="S195" s="14">
        <f>_xlfn.XLOOKUP(B195,Summary!$C$10:$C$15,Summary!$B$10:$B$15)</f>
        <v>0.22</v>
      </c>
      <c r="T195">
        <f>IF(AND(H195="Yes",L195&lt;&gt;"Government"),G195*(_xlfn.XLOOKUP(B195,Summary!$C$10:$C$15,Summary!$B$10:$B$15)),0)</f>
        <v>0</v>
      </c>
    </row>
    <row r="196" spans="1:20" x14ac:dyDescent="0.25">
      <c r="A196">
        <v>22499</v>
      </c>
      <c r="B196" t="s">
        <v>29</v>
      </c>
      <c r="C196" t="s">
        <v>35</v>
      </c>
      <c r="D196" s="11">
        <v>1954</v>
      </c>
      <c r="E196">
        <v>10.74</v>
      </c>
      <c r="F196">
        <v>12</v>
      </c>
      <c r="G196">
        <f t="shared" si="21"/>
        <v>23448</v>
      </c>
      <c r="H196" t="s">
        <v>71</v>
      </c>
      <c r="J196" s="9">
        <v>45490</v>
      </c>
      <c r="K196" t="s">
        <v>41</v>
      </c>
      <c r="L196" t="s">
        <v>24</v>
      </c>
      <c r="M196" t="str">
        <f t="shared" si="22"/>
        <v>Public Sector</v>
      </c>
      <c r="N196" t="str">
        <f t="shared" si="23"/>
        <v>Large Order</v>
      </c>
      <c r="O196">
        <f t="shared" si="24"/>
        <v>5393.04</v>
      </c>
      <c r="P196">
        <f t="shared" si="25"/>
        <v>0</v>
      </c>
      <c r="Q196" t="b">
        <f t="shared" si="26"/>
        <v>0</v>
      </c>
      <c r="R196">
        <f t="shared" si="27"/>
        <v>0</v>
      </c>
      <c r="S196" s="14">
        <f>_xlfn.XLOOKUP(B196,Summary!$C$10:$C$15,Summary!$B$10:$B$15)</f>
        <v>0.22</v>
      </c>
      <c r="T196">
        <f>IF(AND(H196="Yes",L196&lt;&gt;"Government"),G196*(_xlfn.XLOOKUP(B196,Summary!$C$10:$C$15,Summary!$B$10:$B$15)),0)</f>
        <v>0</v>
      </c>
    </row>
    <row r="197" spans="1:20" x14ac:dyDescent="0.25">
      <c r="A197">
        <v>14689</v>
      </c>
      <c r="B197" t="s">
        <v>27</v>
      </c>
      <c r="C197" t="s">
        <v>25</v>
      </c>
      <c r="D197" s="11">
        <v>766</v>
      </c>
      <c r="E197">
        <v>3.11</v>
      </c>
      <c r="F197">
        <v>5</v>
      </c>
      <c r="G197">
        <f t="shared" si="21"/>
        <v>3830</v>
      </c>
      <c r="H197" t="s">
        <v>71</v>
      </c>
      <c r="J197" s="9">
        <v>45380</v>
      </c>
      <c r="K197" t="s">
        <v>39</v>
      </c>
      <c r="L197" t="s">
        <v>31</v>
      </c>
      <c r="M197" t="str">
        <f t="shared" si="22"/>
        <v>Private Industry</v>
      </c>
      <c r="N197" t="str">
        <f t="shared" si="23"/>
        <v>Small Order</v>
      </c>
      <c r="O197">
        <f t="shared" si="24"/>
        <v>880.90000000000009</v>
      </c>
      <c r="P197">
        <f t="shared" si="25"/>
        <v>880.90000000000009</v>
      </c>
      <c r="Q197" t="b">
        <f t="shared" si="26"/>
        <v>1</v>
      </c>
      <c r="R197">
        <f t="shared" si="27"/>
        <v>880.90000000000009</v>
      </c>
      <c r="S197" s="14">
        <f>_xlfn.XLOOKUP(B197,Summary!$C$10:$C$15,Summary!$B$10:$B$15)</f>
        <v>0.19</v>
      </c>
      <c r="T197">
        <f>IF(AND(H197="Yes",L197&lt;&gt;"Government"),G197*(_xlfn.XLOOKUP(B197,Summary!$C$10:$C$15,Summary!$B$10:$B$15)),0)</f>
        <v>727.7</v>
      </c>
    </row>
    <row r="198" spans="1:20" x14ac:dyDescent="0.25">
      <c r="A198">
        <v>96276</v>
      </c>
      <c r="B198" t="s">
        <v>29</v>
      </c>
      <c r="C198" t="s">
        <v>25</v>
      </c>
      <c r="D198" s="11">
        <v>2441</v>
      </c>
      <c r="E198">
        <v>3.25</v>
      </c>
      <c r="F198">
        <v>5</v>
      </c>
      <c r="G198">
        <f t="shared" si="21"/>
        <v>12205</v>
      </c>
      <c r="H198" t="s">
        <v>72</v>
      </c>
      <c r="J198" s="9">
        <v>45408</v>
      </c>
      <c r="K198" t="s">
        <v>41</v>
      </c>
      <c r="L198" t="s">
        <v>33</v>
      </c>
      <c r="M198" t="str">
        <f t="shared" si="22"/>
        <v>Private Industry</v>
      </c>
      <c r="N198" t="str">
        <f t="shared" si="23"/>
        <v>Large Order</v>
      </c>
      <c r="O198">
        <f t="shared" si="24"/>
        <v>0</v>
      </c>
      <c r="P198">
        <f t="shared" si="25"/>
        <v>0</v>
      </c>
      <c r="Q198" t="b">
        <f t="shared" si="26"/>
        <v>0</v>
      </c>
      <c r="R198">
        <f t="shared" si="27"/>
        <v>0</v>
      </c>
      <c r="S198" s="14">
        <f>_xlfn.XLOOKUP(B198,Summary!$C$10:$C$15,Summary!$B$10:$B$15)</f>
        <v>0.22</v>
      </c>
      <c r="T198">
        <f>IF(AND(H198="Yes",L198&lt;&gt;"Government"),G198*(_xlfn.XLOOKUP(B198,Summary!$C$10:$C$15,Summary!$B$10:$B$15)),0)</f>
        <v>0</v>
      </c>
    </row>
    <row r="199" spans="1:20" x14ac:dyDescent="0.25">
      <c r="A199">
        <v>37779</v>
      </c>
      <c r="B199" t="s">
        <v>29</v>
      </c>
      <c r="C199" t="s">
        <v>25</v>
      </c>
      <c r="D199" s="11">
        <v>2178</v>
      </c>
      <c r="E199">
        <v>3.12</v>
      </c>
      <c r="F199">
        <v>4</v>
      </c>
      <c r="G199">
        <f t="shared" si="21"/>
        <v>8712</v>
      </c>
      <c r="H199" t="s">
        <v>72</v>
      </c>
      <c r="J199" s="9">
        <v>45107</v>
      </c>
      <c r="K199" t="s">
        <v>26</v>
      </c>
      <c r="L199" t="s">
        <v>28</v>
      </c>
      <c r="M199" t="str">
        <f t="shared" si="22"/>
        <v>Private Industry</v>
      </c>
      <c r="N199" t="str">
        <f t="shared" si="23"/>
        <v>Large Order</v>
      </c>
      <c r="O199">
        <f t="shared" si="24"/>
        <v>0</v>
      </c>
      <c r="P199">
        <f t="shared" si="25"/>
        <v>0</v>
      </c>
      <c r="Q199" t="b">
        <f t="shared" si="26"/>
        <v>0</v>
      </c>
      <c r="R199">
        <f t="shared" si="27"/>
        <v>0</v>
      </c>
      <c r="S199" s="14">
        <f>_xlfn.XLOOKUP(B199,Summary!$C$10:$C$15,Summary!$B$10:$B$15)</f>
        <v>0.22</v>
      </c>
      <c r="T199">
        <f>IF(AND(H199="Yes",L199&lt;&gt;"Government"),G199*(_xlfn.XLOOKUP(B199,Summary!$C$10:$C$15,Summary!$B$10:$B$15)),0)</f>
        <v>0</v>
      </c>
    </row>
    <row r="200" spans="1:20" x14ac:dyDescent="0.25">
      <c r="A200">
        <v>68334</v>
      </c>
      <c r="B200" t="s">
        <v>42</v>
      </c>
      <c r="C200" t="s">
        <v>37</v>
      </c>
      <c r="D200" s="11">
        <v>554</v>
      </c>
      <c r="E200">
        <v>250.94</v>
      </c>
      <c r="F200">
        <v>362</v>
      </c>
      <c r="G200">
        <f t="shared" si="21"/>
        <v>200548</v>
      </c>
      <c r="H200" t="s">
        <v>71</v>
      </c>
      <c r="J200" s="9">
        <v>45650</v>
      </c>
      <c r="K200" t="s">
        <v>41</v>
      </c>
      <c r="L200" t="s">
        <v>33</v>
      </c>
      <c r="M200" t="str">
        <f t="shared" si="22"/>
        <v>Private Industry</v>
      </c>
      <c r="N200" t="str">
        <f t="shared" si="23"/>
        <v>Small Order</v>
      </c>
      <c r="O200">
        <f t="shared" si="24"/>
        <v>46126.04</v>
      </c>
      <c r="P200">
        <f t="shared" si="25"/>
        <v>46126.04</v>
      </c>
      <c r="Q200" t="b">
        <f t="shared" si="26"/>
        <v>1</v>
      </c>
      <c r="R200">
        <f t="shared" si="27"/>
        <v>46126.04</v>
      </c>
      <c r="S200" s="14">
        <f>_xlfn.XLOOKUP(B200,Summary!$C$10:$C$15,Summary!$B$10:$B$15)</f>
        <v>0.24</v>
      </c>
      <c r="T200">
        <f>IF(AND(H200="Yes",L200&lt;&gt;"Government"),G200*(_xlfn.XLOOKUP(B200,Summary!$C$10:$C$15,Summary!$B$10:$B$15)),0)</f>
        <v>48131.519999999997</v>
      </c>
    </row>
    <row r="201" spans="1:20" x14ac:dyDescent="0.25">
      <c r="A201">
        <v>68902</v>
      </c>
      <c r="B201" t="s">
        <v>32</v>
      </c>
      <c r="C201" t="s">
        <v>35</v>
      </c>
      <c r="D201" s="11">
        <v>293</v>
      </c>
      <c r="E201">
        <v>10.89</v>
      </c>
      <c r="F201">
        <v>13</v>
      </c>
      <c r="G201">
        <f t="shared" si="21"/>
        <v>3809</v>
      </c>
      <c r="H201" t="s">
        <v>71</v>
      </c>
      <c r="J201" s="9">
        <v>45234</v>
      </c>
      <c r="K201" t="s">
        <v>41</v>
      </c>
      <c r="L201" t="s">
        <v>24</v>
      </c>
      <c r="M201" t="str">
        <f t="shared" si="22"/>
        <v>Public Sector</v>
      </c>
      <c r="N201" t="str">
        <f t="shared" si="23"/>
        <v>Small Order</v>
      </c>
      <c r="O201">
        <f t="shared" si="24"/>
        <v>876.07</v>
      </c>
      <c r="P201">
        <f t="shared" si="25"/>
        <v>0</v>
      </c>
      <c r="Q201" t="b">
        <f t="shared" si="26"/>
        <v>0</v>
      </c>
      <c r="R201">
        <f t="shared" si="27"/>
        <v>0</v>
      </c>
      <c r="S201" s="14">
        <f>_xlfn.XLOOKUP(B201,Summary!$C$10:$C$15,Summary!$B$10:$B$15)</f>
        <v>0.23</v>
      </c>
      <c r="T201">
        <f>IF(AND(H201="Yes",L201&lt;&gt;"Government"),G201*(_xlfn.XLOOKUP(B201,Summary!$C$10:$C$15,Summary!$B$10:$B$15)),0)</f>
        <v>0</v>
      </c>
    </row>
    <row r="202" spans="1:20" x14ac:dyDescent="0.25">
      <c r="A202">
        <v>96854</v>
      </c>
      <c r="B202" t="s">
        <v>32</v>
      </c>
      <c r="C202" t="s">
        <v>38</v>
      </c>
      <c r="D202" s="11">
        <v>1143</v>
      </c>
      <c r="E202">
        <v>260.61</v>
      </c>
      <c r="F202">
        <v>274</v>
      </c>
      <c r="G202">
        <f t="shared" si="21"/>
        <v>313182</v>
      </c>
      <c r="H202" t="s">
        <v>71</v>
      </c>
      <c r="J202" s="9">
        <v>45613</v>
      </c>
      <c r="K202" t="s">
        <v>26</v>
      </c>
      <c r="L202" t="s">
        <v>24</v>
      </c>
      <c r="M202" t="str">
        <f t="shared" si="22"/>
        <v>Public Sector</v>
      </c>
      <c r="N202" t="str">
        <f t="shared" si="23"/>
        <v>Small Order</v>
      </c>
      <c r="O202">
        <f t="shared" si="24"/>
        <v>72031.86</v>
      </c>
      <c r="P202">
        <f t="shared" si="25"/>
        <v>0</v>
      </c>
      <c r="Q202" t="b">
        <f t="shared" si="26"/>
        <v>0</v>
      </c>
      <c r="R202">
        <f t="shared" si="27"/>
        <v>0</v>
      </c>
      <c r="S202" s="14">
        <f>_xlfn.XLOOKUP(B202,Summary!$C$10:$C$15,Summary!$B$10:$B$15)</f>
        <v>0.23</v>
      </c>
      <c r="T202">
        <f>IF(AND(H202="Yes",L202&lt;&gt;"Government"),G202*(_xlfn.XLOOKUP(B202,Summary!$C$10:$C$15,Summary!$B$10:$B$15)),0)</f>
        <v>0</v>
      </c>
    </row>
    <row r="203" spans="1:20" x14ac:dyDescent="0.25">
      <c r="A203">
        <v>83594</v>
      </c>
      <c r="B203" t="s">
        <v>43</v>
      </c>
      <c r="C203" t="s">
        <v>35</v>
      </c>
      <c r="D203" s="11">
        <v>274</v>
      </c>
      <c r="E203">
        <v>10.49</v>
      </c>
      <c r="F203">
        <v>13</v>
      </c>
      <c r="G203">
        <f t="shared" si="21"/>
        <v>3562</v>
      </c>
      <c r="H203" t="s">
        <v>71</v>
      </c>
      <c r="J203" s="9">
        <v>45413</v>
      </c>
      <c r="K203" t="s">
        <v>39</v>
      </c>
      <c r="L203" t="s">
        <v>24</v>
      </c>
      <c r="M203" t="str">
        <f t="shared" si="22"/>
        <v>Public Sector</v>
      </c>
      <c r="N203" t="str">
        <f t="shared" si="23"/>
        <v>Small Order</v>
      </c>
      <c r="O203">
        <f t="shared" si="24"/>
        <v>819.26</v>
      </c>
      <c r="P203">
        <f t="shared" si="25"/>
        <v>0</v>
      </c>
      <c r="Q203" t="b">
        <f t="shared" si="26"/>
        <v>0</v>
      </c>
      <c r="R203">
        <f t="shared" si="27"/>
        <v>0</v>
      </c>
      <c r="S203" s="14">
        <f>_xlfn.XLOOKUP(B203,Summary!$C$10:$C$15,Summary!$B$10:$B$15)</f>
        <v>0.21</v>
      </c>
      <c r="T203">
        <f>IF(AND(H203="Yes",L203&lt;&gt;"Government"),G203*(_xlfn.XLOOKUP(B203,Summary!$C$10:$C$15,Summary!$B$10:$B$15)),0)</f>
        <v>0</v>
      </c>
    </row>
    <row r="204" spans="1:20" x14ac:dyDescent="0.25">
      <c r="A204">
        <v>54758</v>
      </c>
      <c r="B204" t="s">
        <v>27</v>
      </c>
      <c r="C204" t="s">
        <v>35</v>
      </c>
      <c r="D204" s="11">
        <v>1945</v>
      </c>
      <c r="E204">
        <v>10.48</v>
      </c>
      <c r="F204">
        <v>13</v>
      </c>
      <c r="G204">
        <f t="shared" si="21"/>
        <v>25285</v>
      </c>
      <c r="H204" t="s">
        <v>72</v>
      </c>
      <c r="J204" s="9">
        <v>45718</v>
      </c>
      <c r="K204" t="s">
        <v>39</v>
      </c>
      <c r="L204" t="s">
        <v>28</v>
      </c>
      <c r="M204" t="str">
        <f t="shared" si="22"/>
        <v>Private Industry</v>
      </c>
      <c r="N204" t="str">
        <f t="shared" si="23"/>
        <v>Large Order</v>
      </c>
      <c r="O204">
        <f t="shared" si="24"/>
        <v>0</v>
      </c>
      <c r="P204">
        <f t="shared" si="25"/>
        <v>0</v>
      </c>
      <c r="Q204" t="b">
        <f t="shared" si="26"/>
        <v>0</v>
      </c>
      <c r="R204">
        <f t="shared" si="27"/>
        <v>0</v>
      </c>
      <c r="S204" s="14">
        <f>_xlfn.XLOOKUP(B204,Summary!$C$10:$C$15,Summary!$B$10:$B$15)</f>
        <v>0.19</v>
      </c>
      <c r="T204">
        <f>IF(AND(H204="Yes",L204&lt;&gt;"Government"),G204*(_xlfn.XLOOKUP(B204,Summary!$C$10:$C$15,Summary!$B$10:$B$15)),0)</f>
        <v>0</v>
      </c>
    </row>
    <row r="205" spans="1:20" x14ac:dyDescent="0.25">
      <c r="A205">
        <v>66977</v>
      </c>
      <c r="B205" t="s">
        <v>42</v>
      </c>
      <c r="C205" t="s">
        <v>35</v>
      </c>
      <c r="D205" s="11">
        <v>2472</v>
      </c>
      <c r="E205">
        <v>10.32</v>
      </c>
      <c r="F205">
        <v>16</v>
      </c>
      <c r="G205">
        <f t="shared" si="21"/>
        <v>39552</v>
      </c>
      <c r="H205" t="s">
        <v>72</v>
      </c>
      <c r="J205" s="9">
        <v>45652</v>
      </c>
      <c r="K205" t="s">
        <v>26</v>
      </c>
      <c r="L205" t="s">
        <v>28</v>
      </c>
      <c r="M205" t="str">
        <f t="shared" si="22"/>
        <v>Private Industry</v>
      </c>
      <c r="N205" t="str">
        <f t="shared" si="23"/>
        <v>Large Order</v>
      </c>
      <c r="O205">
        <f t="shared" si="24"/>
        <v>0</v>
      </c>
      <c r="P205">
        <f t="shared" si="25"/>
        <v>0</v>
      </c>
      <c r="Q205" t="b">
        <f t="shared" si="26"/>
        <v>0</v>
      </c>
      <c r="R205">
        <f t="shared" si="27"/>
        <v>0</v>
      </c>
      <c r="S205" s="14">
        <f>_xlfn.XLOOKUP(B205,Summary!$C$10:$C$15,Summary!$B$10:$B$15)</f>
        <v>0.24</v>
      </c>
      <c r="T205">
        <f>IF(AND(H205="Yes",L205&lt;&gt;"Government"),G205*(_xlfn.XLOOKUP(B205,Summary!$C$10:$C$15,Summary!$B$10:$B$15)),0)</f>
        <v>0</v>
      </c>
    </row>
    <row r="206" spans="1:20" x14ac:dyDescent="0.25">
      <c r="A206">
        <v>66146</v>
      </c>
      <c r="B206" t="s">
        <v>43</v>
      </c>
      <c r="C206" t="s">
        <v>30</v>
      </c>
      <c r="D206" s="11">
        <v>2301</v>
      </c>
      <c r="E206">
        <v>5.8100000000000005</v>
      </c>
      <c r="F206">
        <v>9</v>
      </c>
      <c r="G206">
        <f t="shared" si="21"/>
        <v>20709</v>
      </c>
      <c r="H206" t="s">
        <v>72</v>
      </c>
      <c r="J206" s="9">
        <v>45424</v>
      </c>
      <c r="K206" t="s">
        <v>39</v>
      </c>
      <c r="L206" t="s">
        <v>34</v>
      </c>
      <c r="M206" t="str">
        <f t="shared" si="22"/>
        <v>Private Industry</v>
      </c>
      <c r="N206" t="str">
        <f t="shared" si="23"/>
        <v>Large Order</v>
      </c>
      <c r="O206">
        <f t="shared" si="24"/>
        <v>0</v>
      </c>
      <c r="P206">
        <f t="shared" si="25"/>
        <v>0</v>
      </c>
      <c r="Q206" t="b">
        <f t="shared" si="26"/>
        <v>0</v>
      </c>
      <c r="R206">
        <f t="shared" si="27"/>
        <v>0</v>
      </c>
      <c r="S206" s="14">
        <f>_xlfn.XLOOKUP(B206,Summary!$C$10:$C$15,Summary!$B$10:$B$15)</f>
        <v>0.21</v>
      </c>
      <c r="T206">
        <f>IF(AND(H206="Yes",L206&lt;&gt;"Government"),G206*(_xlfn.XLOOKUP(B206,Summary!$C$10:$C$15,Summary!$B$10:$B$15)),0)</f>
        <v>0</v>
      </c>
    </row>
    <row r="207" spans="1:20" x14ac:dyDescent="0.25">
      <c r="A207">
        <v>17233</v>
      </c>
      <c r="B207" t="s">
        <v>29</v>
      </c>
      <c r="C207" t="s">
        <v>25</v>
      </c>
      <c r="D207" s="11">
        <v>886</v>
      </c>
      <c r="E207">
        <v>3.31</v>
      </c>
      <c r="F207">
        <v>4</v>
      </c>
      <c r="G207">
        <f t="shared" si="21"/>
        <v>3544</v>
      </c>
      <c r="H207" t="s">
        <v>72</v>
      </c>
      <c r="J207" s="9">
        <v>45769</v>
      </c>
      <c r="K207" t="s">
        <v>41</v>
      </c>
      <c r="L207" t="s">
        <v>24</v>
      </c>
      <c r="M207" t="str">
        <f t="shared" si="22"/>
        <v>Public Sector</v>
      </c>
      <c r="N207" t="str">
        <f t="shared" si="23"/>
        <v>Small Order</v>
      </c>
      <c r="O207">
        <f t="shared" si="24"/>
        <v>0</v>
      </c>
      <c r="P207">
        <f t="shared" si="25"/>
        <v>0</v>
      </c>
      <c r="Q207" t="b">
        <f t="shared" si="26"/>
        <v>0</v>
      </c>
      <c r="R207">
        <f t="shared" si="27"/>
        <v>0</v>
      </c>
      <c r="S207" s="14">
        <f>_xlfn.XLOOKUP(B207,Summary!$C$10:$C$15,Summary!$B$10:$B$15)</f>
        <v>0.22</v>
      </c>
      <c r="T207">
        <f>IF(AND(H207="Yes",L207&lt;&gt;"Government"),G207*(_xlfn.XLOOKUP(B207,Summary!$C$10:$C$15,Summary!$B$10:$B$15)),0)</f>
        <v>0</v>
      </c>
    </row>
    <row r="208" spans="1:20" x14ac:dyDescent="0.25">
      <c r="A208">
        <v>41212</v>
      </c>
      <c r="B208" t="s">
        <v>44</v>
      </c>
      <c r="C208" t="s">
        <v>37</v>
      </c>
      <c r="D208" s="11">
        <v>269</v>
      </c>
      <c r="E208">
        <v>250.22</v>
      </c>
      <c r="F208">
        <v>373</v>
      </c>
      <c r="G208">
        <f t="shared" si="21"/>
        <v>100337</v>
      </c>
      <c r="H208" t="s">
        <v>72</v>
      </c>
      <c r="J208" s="9">
        <v>45464</v>
      </c>
      <c r="K208" t="s">
        <v>41</v>
      </c>
      <c r="L208" t="s">
        <v>34</v>
      </c>
      <c r="M208" t="str">
        <f t="shared" si="22"/>
        <v>Private Industry</v>
      </c>
      <c r="N208" t="str">
        <f t="shared" si="23"/>
        <v>Small Order</v>
      </c>
      <c r="O208">
        <f t="shared" si="24"/>
        <v>0</v>
      </c>
      <c r="P208">
        <f t="shared" si="25"/>
        <v>0</v>
      </c>
      <c r="Q208" t="b">
        <f t="shared" si="26"/>
        <v>0</v>
      </c>
      <c r="R208">
        <f t="shared" si="27"/>
        <v>0</v>
      </c>
      <c r="S208" s="14">
        <f>_xlfn.XLOOKUP(B208,Summary!$C$10:$C$15,Summary!$B$10:$B$15)</f>
        <v>0.2</v>
      </c>
      <c r="T208">
        <f>IF(AND(H208="Yes",L208&lt;&gt;"Government"),G208*(_xlfn.XLOOKUP(B208,Summary!$C$10:$C$15,Summary!$B$10:$B$15)),0)</f>
        <v>0</v>
      </c>
    </row>
    <row r="209" spans="1:20" x14ac:dyDescent="0.25">
      <c r="A209">
        <v>42771</v>
      </c>
      <c r="B209" t="s">
        <v>43</v>
      </c>
      <c r="C209" t="s">
        <v>36</v>
      </c>
      <c r="D209" s="11">
        <v>2907</v>
      </c>
      <c r="E209">
        <v>120.72</v>
      </c>
      <c r="F209">
        <v>171</v>
      </c>
      <c r="G209">
        <f t="shared" si="21"/>
        <v>497097</v>
      </c>
      <c r="H209" t="s">
        <v>71</v>
      </c>
      <c r="J209" s="9">
        <v>45496</v>
      </c>
      <c r="K209" t="s">
        <v>40</v>
      </c>
      <c r="L209" t="s">
        <v>24</v>
      </c>
      <c r="M209" t="str">
        <f t="shared" si="22"/>
        <v>Public Sector</v>
      </c>
      <c r="N209" t="str">
        <f t="shared" si="23"/>
        <v>Large Order</v>
      </c>
      <c r="O209">
        <f t="shared" si="24"/>
        <v>114332.31000000001</v>
      </c>
      <c r="P209">
        <f t="shared" si="25"/>
        <v>0</v>
      </c>
      <c r="Q209" t="b">
        <f t="shared" si="26"/>
        <v>0</v>
      </c>
      <c r="R209">
        <f t="shared" si="27"/>
        <v>0</v>
      </c>
      <c r="S209" s="14">
        <f>_xlfn.XLOOKUP(B209,Summary!$C$10:$C$15,Summary!$B$10:$B$15)</f>
        <v>0.21</v>
      </c>
      <c r="T209">
        <f>IF(AND(H209="Yes",L209&lt;&gt;"Government"),G209*(_xlfn.XLOOKUP(B209,Summary!$C$10:$C$15,Summary!$B$10:$B$15)),0)</f>
        <v>0</v>
      </c>
    </row>
    <row r="210" spans="1:20" x14ac:dyDescent="0.25">
      <c r="A210">
        <v>44571</v>
      </c>
      <c r="B210" t="s">
        <v>42</v>
      </c>
      <c r="C210" t="s">
        <v>37</v>
      </c>
      <c r="D210" s="11">
        <v>432</v>
      </c>
      <c r="E210">
        <v>250.68</v>
      </c>
      <c r="F210">
        <v>329</v>
      </c>
      <c r="G210">
        <f t="shared" si="21"/>
        <v>142128</v>
      </c>
      <c r="H210" t="s">
        <v>72</v>
      </c>
      <c r="J210" s="9">
        <v>45778</v>
      </c>
      <c r="K210" t="s">
        <v>41</v>
      </c>
      <c r="L210" t="s">
        <v>34</v>
      </c>
      <c r="M210" t="str">
        <f t="shared" si="22"/>
        <v>Private Industry</v>
      </c>
      <c r="N210" t="str">
        <f t="shared" si="23"/>
        <v>Small Order</v>
      </c>
      <c r="O210">
        <f t="shared" si="24"/>
        <v>0</v>
      </c>
      <c r="P210">
        <f t="shared" si="25"/>
        <v>0</v>
      </c>
      <c r="Q210" t="b">
        <f t="shared" si="26"/>
        <v>0</v>
      </c>
      <c r="R210">
        <f t="shared" si="27"/>
        <v>0</v>
      </c>
      <c r="S210" s="14">
        <f>_xlfn.XLOOKUP(B210,Summary!$C$10:$C$15,Summary!$B$10:$B$15)</f>
        <v>0.24</v>
      </c>
      <c r="T210">
        <f>IF(AND(H210="Yes",L210&lt;&gt;"Government"),G210*(_xlfn.XLOOKUP(B210,Summary!$C$10:$C$15,Summary!$B$10:$B$15)),0)</f>
        <v>0</v>
      </c>
    </row>
    <row r="211" spans="1:20" x14ac:dyDescent="0.25">
      <c r="A211">
        <v>80499</v>
      </c>
      <c r="B211" t="s">
        <v>42</v>
      </c>
      <c r="C211" t="s">
        <v>35</v>
      </c>
      <c r="D211" s="11">
        <v>1138</v>
      </c>
      <c r="E211">
        <v>10.77</v>
      </c>
      <c r="F211">
        <v>11</v>
      </c>
      <c r="G211">
        <f t="shared" si="21"/>
        <v>12518</v>
      </c>
      <c r="H211" t="s">
        <v>72</v>
      </c>
      <c r="J211" s="9">
        <v>45636</v>
      </c>
      <c r="K211" t="s">
        <v>39</v>
      </c>
      <c r="L211" t="s">
        <v>33</v>
      </c>
      <c r="M211" t="str">
        <f t="shared" si="22"/>
        <v>Private Industry</v>
      </c>
      <c r="N211" t="str">
        <f t="shared" si="23"/>
        <v>Small Order</v>
      </c>
      <c r="O211">
        <f t="shared" si="24"/>
        <v>0</v>
      </c>
      <c r="P211">
        <f t="shared" si="25"/>
        <v>0</v>
      </c>
      <c r="Q211" t="b">
        <f t="shared" si="26"/>
        <v>0</v>
      </c>
      <c r="R211">
        <f t="shared" si="27"/>
        <v>0</v>
      </c>
      <c r="S211" s="14">
        <f>_xlfn.XLOOKUP(B211,Summary!$C$10:$C$15,Summary!$B$10:$B$15)</f>
        <v>0.24</v>
      </c>
      <c r="T211">
        <f>IF(AND(H211="Yes",L211&lt;&gt;"Government"),G211*(_xlfn.XLOOKUP(B211,Summary!$C$10:$C$15,Summary!$B$10:$B$15)),0)</f>
        <v>0</v>
      </c>
    </row>
    <row r="212" spans="1:20" x14ac:dyDescent="0.25">
      <c r="A212">
        <v>24434</v>
      </c>
      <c r="B212" t="s">
        <v>44</v>
      </c>
      <c r="C212" t="s">
        <v>38</v>
      </c>
      <c r="D212" s="11">
        <v>708</v>
      </c>
      <c r="E212">
        <v>260.38</v>
      </c>
      <c r="F212">
        <v>279</v>
      </c>
      <c r="G212">
        <f t="shared" si="21"/>
        <v>197532</v>
      </c>
      <c r="H212" t="s">
        <v>72</v>
      </c>
      <c r="J212" s="9">
        <v>45580</v>
      </c>
      <c r="K212" t="s">
        <v>40</v>
      </c>
      <c r="L212" t="s">
        <v>24</v>
      </c>
      <c r="M212" t="str">
        <f t="shared" si="22"/>
        <v>Public Sector</v>
      </c>
      <c r="N212" t="str">
        <f t="shared" si="23"/>
        <v>Small Order</v>
      </c>
      <c r="O212">
        <f t="shared" si="24"/>
        <v>0</v>
      </c>
      <c r="P212">
        <f t="shared" si="25"/>
        <v>0</v>
      </c>
      <c r="Q212" t="b">
        <f t="shared" si="26"/>
        <v>0</v>
      </c>
      <c r="R212">
        <f t="shared" si="27"/>
        <v>0</v>
      </c>
      <c r="S212" s="14">
        <f>_xlfn.XLOOKUP(B212,Summary!$C$10:$C$15,Summary!$B$10:$B$15)</f>
        <v>0.2</v>
      </c>
      <c r="T212">
        <f>IF(AND(H212="Yes",L212&lt;&gt;"Government"),G212*(_xlfn.XLOOKUP(B212,Summary!$C$10:$C$15,Summary!$B$10:$B$15)),0)</f>
        <v>0</v>
      </c>
    </row>
    <row r="213" spans="1:20" x14ac:dyDescent="0.25">
      <c r="A213">
        <v>53760</v>
      </c>
      <c r="B213" t="s">
        <v>42</v>
      </c>
      <c r="C213" t="s">
        <v>38</v>
      </c>
      <c r="D213" s="11">
        <v>1679</v>
      </c>
      <c r="E213">
        <v>261</v>
      </c>
      <c r="F213">
        <v>353</v>
      </c>
      <c r="G213">
        <f t="shared" si="21"/>
        <v>592687</v>
      </c>
      <c r="H213" t="s">
        <v>72</v>
      </c>
      <c r="J213" s="9">
        <v>45345</v>
      </c>
      <c r="K213" t="s">
        <v>40</v>
      </c>
      <c r="L213" t="s">
        <v>24</v>
      </c>
      <c r="M213" t="str">
        <f t="shared" si="22"/>
        <v>Public Sector</v>
      </c>
      <c r="N213" t="str">
        <f t="shared" si="23"/>
        <v>Large Order</v>
      </c>
      <c r="O213">
        <f t="shared" si="24"/>
        <v>0</v>
      </c>
      <c r="P213">
        <f t="shared" si="25"/>
        <v>0</v>
      </c>
      <c r="Q213" t="b">
        <f t="shared" si="26"/>
        <v>0</v>
      </c>
      <c r="R213">
        <f t="shared" si="27"/>
        <v>0</v>
      </c>
      <c r="S213" s="14">
        <f>_xlfn.XLOOKUP(B213,Summary!$C$10:$C$15,Summary!$B$10:$B$15)</f>
        <v>0.24</v>
      </c>
      <c r="T213">
        <f>IF(AND(H213="Yes",L213&lt;&gt;"Government"),G213*(_xlfn.XLOOKUP(B213,Summary!$C$10:$C$15,Summary!$B$10:$B$15)),0)</f>
        <v>0</v>
      </c>
    </row>
    <row r="214" spans="1:20" x14ac:dyDescent="0.25">
      <c r="A214">
        <v>84469</v>
      </c>
      <c r="B214" t="s">
        <v>32</v>
      </c>
      <c r="C214" t="s">
        <v>35</v>
      </c>
      <c r="D214" s="11">
        <v>2993</v>
      </c>
      <c r="E214">
        <v>10.1</v>
      </c>
      <c r="F214">
        <v>12</v>
      </c>
      <c r="G214">
        <f t="shared" si="21"/>
        <v>35916</v>
      </c>
      <c r="H214" t="s">
        <v>71</v>
      </c>
      <c r="J214" s="9">
        <v>45238</v>
      </c>
      <c r="K214" t="s">
        <v>40</v>
      </c>
      <c r="L214" t="s">
        <v>24</v>
      </c>
      <c r="M214" t="str">
        <f t="shared" si="22"/>
        <v>Public Sector</v>
      </c>
      <c r="N214" t="str">
        <f t="shared" si="23"/>
        <v>Large Order</v>
      </c>
      <c r="O214">
        <f t="shared" si="24"/>
        <v>8260.68</v>
      </c>
      <c r="P214">
        <f t="shared" si="25"/>
        <v>0</v>
      </c>
      <c r="Q214" t="b">
        <f t="shared" si="26"/>
        <v>0</v>
      </c>
      <c r="R214">
        <f t="shared" si="27"/>
        <v>0</v>
      </c>
      <c r="S214" s="14">
        <f>_xlfn.XLOOKUP(B214,Summary!$C$10:$C$15,Summary!$B$10:$B$15)</f>
        <v>0.23</v>
      </c>
      <c r="T214">
        <f>IF(AND(H214="Yes",L214&lt;&gt;"Government"),G214*(_xlfn.XLOOKUP(B214,Summary!$C$10:$C$15,Summary!$B$10:$B$15)),0)</f>
        <v>0</v>
      </c>
    </row>
    <row r="215" spans="1:20" x14ac:dyDescent="0.25">
      <c r="A215">
        <v>27475</v>
      </c>
      <c r="B215" t="s">
        <v>44</v>
      </c>
      <c r="C215" t="s">
        <v>35</v>
      </c>
      <c r="D215" s="11">
        <v>1094</v>
      </c>
      <c r="E215">
        <v>10.27</v>
      </c>
      <c r="F215">
        <v>14</v>
      </c>
      <c r="G215">
        <f t="shared" si="21"/>
        <v>15316</v>
      </c>
      <c r="H215" t="s">
        <v>71</v>
      </c>
      <c r="J215" s="9">
        <v>45694</v>
      </c>
      <c r="K215" t="s">
        <v>40</v>
      </c>
      <c r="L215" t="s">
        <v>34</v>
      </c>
      <c r="M215" t="str">
        <f t="shared" si="22"/>
        <v>Private Industry</v>
      </c>
      <c r="N215" t="str">
        <f t="shared" si="23"/>
        <v>Small Order</v>
      </c>
      <c r="O215">
        <f t="shared" si="24"/>
        <v>3522.6800000000003</v>
      </c>
      <c r="P215">
        <f t="shared" si="25"/>
        <v>3522.6800000000003</v>
      </c>
      <c r="Q215" t="b">
        <f t="shared" si="26"/>
        <v>1</v>
      </c>
      <c r="R215">
        <f t="shared" si="27"/>
        <v>3522.6800000000003</v>
      </c>
      <c r="S215" s="14">
        <f>_xlfn.XLOOKUP(B215,Summary!$C$10:$C$15,Summary!$B$10:$B$15)</f>
        <v>0.2</v>
      </c>
      <c r="T215">
        <f>IF(AND(H215="Yes",L215&lt;&gt;"Government"),G215*(_xlfn.XLOOKUP(B215,Summary!$C$10:$C$15,Summary!$B$10:$B$15)),0)</f>
        <v>3063.2000000000003</v>
      </c>
    </row>
    <row r="216" spans="1:20" x14ac:dyDescent="0.25">
      <c r="A216">
        <v>43820</v>
      </c>
      <c r="B216" t="s">
        <v>29</v>
      </c>
      <c r="C216" t="s">
        <v>25</v>
      </c>
      <c r="D216" s="11">
        <v>448</v>
      </c>
      <c r="E216">
        <v>3.09</v>
      </c>
      <c r="F216">
        <v>5</v>
      </c>
      <c r="G216">
        <f t="shared" si="21"/>
        <v>2240</v>
      </c>
      <c r="H216" t="s">
        <v>72</v>
      </c>
      <c r="J216" s="9">
        <v>45527</v>
      </c>
      <c r="K216" t="s">
        <v>40</v>
      </c>
      <c r="L216" t="s">
        <v>34</v>
      </c>
      <c r="M216" t="str">
        <f t="shared" si="22"/>
        <v>Private Industry</v>
      </c>
      <c r="N216" t="str">
        <f t="shared" si="23"/>
        <v>Small Order</v>
      </c>
      <c r="O216">
        <f t="shared" si="24"/>
        <v>0</v>
      </c>
      <c r="P216">
        <f t="shared" si="25"/>
        <v>0</v>
      </c>
      <c r="Q216" t="b">
        <f t="shared" si="26"/>
        <v>0</v>
      </c>
      <c r="R216">
        <f t="shared" si="27"/>
        <v>0</v>
      </c>
      <c r="S216" s="14">
        <f>_xlfn.XLOOKUP(B216,Summary!$C$10:$C$15,Summary!$B$10:$B$15)</f>
        <v>0.22</v>
      </c>
      <c r="T216">
        <f>IF(AND(H216="Yes",L216&lt;&gt;"Government"),G216*(_xlfn.XLOOKUP(B216,Summary!$C$10:$C$15,Summary!$B$10:$B$15)),0)</f>
        <v>0</v>
      </c>
    </row>
    <row r="217" spans="1:20" x14ac:dyDescent="0.25">
      <c r="A217">
        <v>65557</v>
      </c>
      <c r="B217" t="s">
        <v>44</v>
      </c>
      <c r="C217" t="s">
        <v>37</v>
      </c>
      <c r="D217" s="11">
        <v>1582</v>
      </c>
      <c r="E217">
        <v>250.06</v>
      </c>
      <c r="F217">
        <v>333</v>
      </c>
      <c r="G217">
        <f t="shared" si="21"/>
        <v>526806</v>
      </c>
      <c r="H217" t="s">
        <v>71</v>
      </c>
      <c r="J217" s="9">
        <v>45189</v>
      </c>
      <c r="K217" t="s">
        <v>40</v>
      </c>
      <c r="L217" t="s">
        <v>24</v>
      </c>
      <c r="M217" t="str">
        <f t="shared" si="22"/>
        <v>Public Sector</v>
      </c>
      <c r="N217" t="str">
        <f t="shared" si="23"/>
        <v>Large Order</v>
      </c>
      <c r="O217">
        <f t="shared" si="24"/>
        <v>121165.38</v>
      </c>
      <c r="P217">
        <f t="shared" si="25"/>
        <v>0</v>
      </c>
      <c r="Q217" t="b">
        <f t="shared" si="26"/>
        <v>0</v>
      </c>
      <c r="R217">
        <f t="shared" si="27"/>
        <v>0</v>
      </c>
      <c r="S217" s="14">
        <f>_xlfn.XLOOKUP(B217,Summary!$C$10:$C$15,Summary!$B$10:$B$15)</f>
        <v>0.2</v>
      </c>
      <c r="T217">
        <f>IF(AND(H217="Yes",L217&lt;&gt;"Government"),G217*(_xlfn.XLOOKUP(B217,Summary!$C$10:$C$15,Summary!$B$10:$B$15)),0)</f>
        <v>0</v>
      </c>
    </row>
    <row r="218" spans="1:20" x14ac:dyDescent="0.25">
      <c r="A218">
        <v>62799</v>
      </c>
      <c r="B218" t="s">
        <v>43</v>
      </c>
      <c r="C218" t="s">
        <v>35</v>
      </c>
      <c r="D218" s="11">
        <v>1438</v>
      </c>
      <c r="E218">
        <v>10.77</v>
      </c>
      <c r="F218">
        <v>12</v>
      </c>
      <c r="G218">
        <f t="shared" si="21"/>
        <v>17256</v>
      </c>
      <c r="H218" t="s">
        <v>71</v>
      </c>
      <c r="J218" s="9">
        <v>45473</v>
      </c>
      <c r="K218" t="s">
        <v>41</v>
      </c>
      <c r="L218" t="s">
        <v>24</v>
      </c>
      <c r="M218" t="str">
        <f t="shared" si="22"/>
        <v>Public Sector</v>
      </c>
      <c r="N218" t="str">
        <f t="shared" si="23"/>
        <v>Small Order</v>
      </c>
      <c r="O218">
        <f t="shared" si="24"/>
        <v>3968.88</v>
      </c>
      <c r="P218">
        <f t="shared" si="25"/>
        <v>0</v>
      </c>
      <c r="Q218" t="b">
        <f t="shared" si="26"/>
        <v>0</v>
      </c>
      <c r="R218">
        <f t="shared" si="27"/>
        <v>0</v>
      </c>
      <c r="S218" s="14">
        <f>_xlfn.XLOOKUP(B218,Summary!$C$10:$C$15,Summary!$B$10:$B$15)</f>
        <v>0.21</v>
      </c>
      <c r="T218">
        <f>IF(AND(H218="Yes",L218&lt;&gt;"Government"),G218*(_xlfn.XLOOKUP(B218,Summary!$C$10:$C$15,Summary!$B$10:$B$15)),0)</f>
        <v>0</v>
      </c>
    </row>
    <row r="219" spans="1:20" x14ac:dyDescent="0.25">
      <c r="A219">
        <v>68987</v>
      </c>
      <c r="B219" t="s">
        <v>42</v>
      </c>
      <c r="C219" t="s">
        <v>37</v>
      </c>
      <c r="D219" s="11">
        <v>494</v>
      </c>
      <c r="E219">
        <v>250.89</v>
      </c>
      <c r="F219">
        <v>294</v>
      </c>
      <c r="G219">
        <f t="shared" si="21"/>
        <v>145236</v>
      </c>
      <c r="H219" t="s">
        <v>72</v>
      </c>
      <c r="J219" s="9">
        <v>45073</v>
      </c>
      <c r="K219" t="s">
        <v>39</v>
      </c>
      <c r="L219" t="s">
        <v>34</v>
      </c>
      <c r="M219" t="str">
        <f t="shared" si="22"/>
        <v>Private Industry</v>
      </c>
      <c r="N219" t="str">
        <f t="shared" si="23"/>
        <v>Small Order</v>
      </c>
      <c r="O219">
        <f t="shared" si="24"/>
        <v>0</v>
      </c>
      <c r="P219">
        <f t="shared" si="25"/>
        <v>0</v>
      </c>
      <c r="Q219" t="b">
        <f t="shared" si="26"/>
        <v>0</v>
      </c>
      <c r="R219">
        <f t="shared" si="27"/>
        <v>0</v>
      </c>
      <c r="S219" s="14">
        <f>_xlfn.XLOOKUP(B219,Summary!$C$10:$C$15,Summary!$B$10:$B$15)</f>
        <v>0.24</v>
      </c>
      <c r="T219">
        <f>IF(AND(H219="Yes",L219&lt;&gt;"Government"),G219*(_xlfn.XLOOKUP(B219,Summary!$C$10:$C$15,Summary!$B$10:$B$15)),0)</f>
        <v>0</v>
      </c>
    </row>
    <row r="220" spans="1:20" x14ac:dyDescent="0.25">
      <c r="A220">
        <v>44238</v>
      </c>
      <c r="B220" t="s">
        <v>43</v>
      </c>
      <c r="C220" t="s">
        <v>37</v>
      </c>
      <c r="D220" s="11">
        <v>436</v>
      </c>
      <c r="E220">
        <v>250.52</v>
      </c>
      <c r="F220">
        <v>371</v>
      </c>
      <c r="G220">
        <f t="shared" si="21"/>
        <v>161756</v>
      </c>
      <c r="H220" t="s">
        <v>72</v>
      </c>
      <c r="J220" s="9">
        <v>45117</v>
      </c>
      <c r="K220" t="s">
        <v>40</v>
      </c>
      <c r="L220" t="s">
        <v>24</v>
      </c>
      <c r="M220" t="str">
        <f t="shared" si="22"/>
        <v>Public Sector</v>
      </c>
      <c r="N220" t="str">
        <f t="shared" si="23"/>
        <v>Small Order</v>
      </c>
      <c r="O220">
        <f t="shared" si="24"/>
        <v>0</v>
      </c>
      <c r="P220">
        <f t="shared" si="25"/>
        <v>0</v>
      </c>
      <c r="Q220" t="b">
        <f t="shared" si="26"/>
        <v>0</v>
      </c>
      <c r="R220">
        <f t="shared" si="27"/>
        <v>0</v>
      </c>
      <c r="S220" s="14">
        <f>_xlfn.XLOOKUP(B220,Summary!$C$10:$C$15,Summary!$B$10:$B$15)</f>
        <v>0.21</v>
      </c>
      <c r="T220">
        <f>IF(AND(H220="Yes",L220&lt;&gt;"Government"),G220*(_xlfn.XLOOKUP(B220,Summary!$C$10:$C$15,Summary!$B$10:$B$15)),0)</f>
        <v>0</v>
      </c>
    </row>
    <row r="221" spans="1:20" x14ac:dyDescent="0.25">
      <c r="A221">
        <v>33399</v>
      </c>
      <c r="B221" t="s">
        <v>42</v>
      </c>
      <c r="C221" t="s">
        <v>30</v>
      </c>
      <c r="D221" s="11">
        <v>2255</v>
      </c>
      <c r="E221">
        <v>5.4</v>
      </c>
      <c r="F221">
        <v>7</v>
      </c>
      <c r="G221">
        <f t="shared" si="21"/>
        <v>15785</v>
      </c>
      <c r="H221" t="s">
        <v>71</v>
      </c>
      <c r="J221" s="9">
        <v>45688</v>
      </c>
      <c r="K221" t="s">
        <v>41</v>
      </c>
      <c r="L221" t="s">
        <v>24</v>
      </c>
      <c r="M221" t="str">
        <f t="shared" si="22"/>
        <v>Public Sector</v>
      </c>
      <c r="N221" t="str">
        <f t="shared" si="23"/>
        <v>Large Order</v>
      </c>
      <c r="O221">
        <f t="shared" si="24"/>
        <v>3630.55</v>
      </c>
      <c r="P221">
        <f t="shared" si="25"/>
        <v>0</v>
      </c>
      <c r="Q221" t="b">
        <f t="shared" si="26"/>
        <v>0</v>
      </c>
      <c r="R221">
        <f t="shared" si="27"/>
        <v>0</v>
      </c>
      <c r="S221" s="14">
        <f>_xlfn.XLOOKUP(B221,Summary!$C$10:$C$15,Summary!$B$10:$B$15)</f>
        <v>0.24</v>
      </c>
      <c r="T221">
        <f>IF(AND(H221="Yes",L221&lt;&gt;"Government"),G221*(_xlfn.XLOOKUP(B221,Summary!$C$10:$C$15,Summary!$B$10:$B$15)),0)</f>
        <v>0</v>
      </c>
    </row>
    <row r="222" spans="1:20" x14ac:dyDescent="0.25">
      <c r="A222">
        <v>38909</v>
      </c>
      <c r="B222" t="s">
        <v>29</v>
      </c>
      <c r="C222" t="s">
        <v>38</v>
      </c>
      <c r="D222" s="11">
        <v>1987</v>
      </c>
      <c r="E222">
        <v>260.29000000000002</v>
      </c>
      <c r="F222">
        <v>391</v>
      </c>
      <c r="G222">
        <f t="shared" si="21"/>
        <v>776917</v>
      </c>
      <c r="H222" t="s">
        <v>71</v>
      </c>
      <c r="J222" s="9">
        <v>45528</v>
      </c>
      <c r="K222" t="s">
        <v>40</v>
      </c>
      <c r="L222" t="s">
        <v>33</v>
      </c>
      <c r="M222" t="str">
        <f t="shared" si="22"/>
        <v>Private Industry</v>
      </c>
      <c r="N222" t="str">
        <f t="shared" si="23"/>
        <v>Large Order</v>
      </c>
      <c r="O222">
        <f t="shared" si="24"/>
        <v>178690.91</v>
      </c>
      <c r="P222">
        <f t="shared" si="25"/>
        <v>178690.91</v>
      </c>
      <c r="Q222" t="b">
        <f t="shared" si="26"/>
        <v>1</v>
      </c>
      <c r="R222">
        <f t="shared" si="27"/>
        <v>178690.91</v>
      </c>
      <c r="S222" s="14">
        <f>_xlfn.XLOOKUP(B222,Summary!$C$10:$C$15,Summary!$B$10:$B$15)</f>
        <v>0.22</v>
      </c>
      <c r="T222">
        <f>IF(AND(H222="Yes",L222&lt;&gt;"Government"),G222*(_xlfn.XLOOKUP(B222,Summary!$C$10:$C$15,Summary!$B$10:$B$15)),0)</f>
        <v>170921.74</v>
      </c>
    </row>
    <row r="223" spans="1:20" x14ac:dyDescent="0.25">
      <c r="A223">
        <v>36823</v>
      </c>
      <c r="B223" t="s">
        <v>32</v>
      </c>
      <c r="C223" t="s">
        <v>37</v>
      </c>
      <c r="D223" s="11">
        <v>2215</v>
      </c>
      <c r="E223">
        <v>250.02</v>
      </c>
      <c r="F223">
        <v>361</v>
      </c>
      <c r="G223">
        <f t="shared" si="21"/>
        <v>799615</v>
      </c>
      <c r="H223" t="s">
        <v>72</v>
      </c>
      <c r="J223" s="9">
        <v>45238</v>
      </c>
      <c r="K223" t="s">
        <v>40</v>
      </c>
      <c r="L223" t="s">
        <v>31</v>
      </c>
      <c r="M223" t="str">
        <f t="shared" si="22"/>
        <v>Private Industry</v>
      </c>
      <c r="N223" t="str">
        <f t="shared" si="23"/>
        <v>Large Order</v>
      </c>
      <c r="O223">
        <f t="shared" si="24"/>
        <v>0</v>
      </c>
      <c r="P223">
        <f t="shared" si="25"/>
        <v>0</v>
      </c>
      <c r="Q223" t="b">
        <f t="shared" si="26"/>
        <v>0</v>
      </c>
      <c r="R223">
        <f t="shared" si="27"/>
        <v>0</v>
      </c>
      <c r="S223" s="14">
        <f>_xlfn.XLOOKUP(B223,Summary!$C$10:$C$15,Summary!$B$10:$B$15)</f>
        <v>0.23</v>
      </c>
      <c r="T223">
        <f>IF(AND(H223="Yes",L223&lt;&gt;"Government"),G223*(_xlfn.XLOOKUP(B223,Summary!$C$10:$C$15,Summary!$B$10:$B$15)),0)</f>
        <v>0</v>
      </c>
    </row>
    <row r="224" spans="1:20" x14ac:dyDescent="0.25">
      <c r="A224">
        <v>93812</v>
      </c>
      <c r="B224" t="s">
        <v>27</v>
      </c>
      <c r="C224" t="s">
        <v>38</v>
      </c>
      <c r="D224" s="11">
        <v>1250</v>
      </c>
      <c r="E224">
        <v>260.64</v>
      </c>
      <c r="F224">
        <v>334</v>
      </c>
      <c r="G224">
        <f t="shared" si="21"/>
        <v>417500</v>
      </c>
      <c r="H224" t="s">
        <v>71</v>
      </c>
      <c r="J224" s="9">
        <v>45320</v>
      </c>
      <c r="K224" t="s">
        <v>40</v>
      </c>
      <c r="L224" t="s">
        <v>34</v>
      </c>
      <c r="M224" t="str">
        <f t="shared" si="22"/>
        <v>Private Industry</v>
      </c>
      <c r="N224" t="str">
        <f t="shared" si="23"/>
        <v>Small Order</v>
      </c>
      <c r="O224">
        <f t="shared" si="24"/>
        <v>96025</v>
      </c>
      <c r="P224">
        <f t="shared" si="25"/>
        <v>96025</v>
      </c>
      <c r="Q224" t="b">
        <f t="shared" si="26"/>
        <v>1</v>
      </c>
      <c r="R224">
        <f t="shared" si="27"/>
        <v>96025</v>
      </c>
      <c r="S224" s="14">
        <f>_xlfn.XLOOKUP(B224,Summary!$C$10:$C$15,Summary!$B$10:$B$15)</f>
        <v>0.19</v>
      </c>
      <c r="T224">
        <f>IF(AND(H224="Yes",L224&lt;&gt;"Government"),G224*(_xlfn.XLOOKUP(B224,Summary!$C$10:$C$15,Summary!$B$10:$B$15)),0)</f>
        <v>79325</v>
      </c>
    </row>
    <row r="225" spans="1:20" x14ac:dyDescent="0.25">
      <c r="A225">
        <v>56167</v>
      </c>
      <c r="B225" t="s">
        <v>43</v>
      </c>
      <c r="C225" t="s">
        <v>38</v>
      </c>
      <c r="D225" s="11">
        <v>2844</v>
      </c>
      <c r="E225">
        <v>260.25</v>
      </c>
      <c r="F225">
        <v>308</v>
      </c>
      <c r="G225">
        <f t="shared" si="21"/>
        <v>875952</v>
      </c>
      <c r="H225" t="s">
        <v>72</v>
      </c>
      <c r="J225" s="9">
        <v>45365</v>
      </c>
      <c r="K225" t="s">
        <v>41</v>
      </c>
      <c r="L225" t="s">
        <v>33</v>
      </c>
      <c r="M225" t="str">
        <f t="shared" si="22"/>
        <v>Private Industry</v>
      </c>
      <c r="N225" t="str">
        <f t="shared" si="23"/>
        <v>Large Order</v>
      </c>
      <c r="O225">
        <f t="shared" si="24"/>
        <v>0</v>
      </c>
      <c r="P225">
        <f t="shared" si="25"/>
        <v>0</v>
      </c>
      <c r="Q225" t="b">
        <f t="shared" si="26"/>
        <v>0</v>
      </c>
      <c r="R225">
        <f t="shared" si="27"/>
        <v>0</v>
      </c>
      <c r="S225" s="14">
        <f>_xlfn.XLOOKUP(B225,Summary!$C$10:$C$15,Summary!$B$10:$B$15)</f>
        <v>0.21</v>
      </c>
      <c r="T225">
        <f>IF(AND(H225="Yes",L225&lt;&gt;"Government"),G225*(_xlfn.XLOOKUP(B225,Summary!$C$10:$C$15,Summary!$B$10:$B$15)),0)</f>
        <v>0</v>
      </c>
    </row>
    <row r="226" spans="1:20" x14ac:dyDescent="0.25">
      <c r="A226">
        <v>71258</v>
      </c>
      <c r="B226" t="s">
        <v>42</v>
      </c>
      <c r="C226" t="s">
        <v>37</v>
      </c>
      <c r="D226" s="11">
        <v>2689</v>
      </c>
      <c r="E226">
        <v>250.75</v>
      </c>
      <c r="F226">
        <v>264</v>
      </c>
      <c r="G226">
        <f t="shared" si="21"/>
        <v>709896</v>
      </c>
      <c r="H226" t="s">
        <v>72</v>
      </c>
      <c r="J226" s="9">
        <v>45269</v>
      </c>
      <c r="K226" t="s">
        <v>40</v>
      </c>
      <c r="L226" t="s">
        <v>24</v>
      </c>
      <c r="M226" t="str">
        <f t="shared" si="22"/>
        <v>Public Sector</v>
      </c>
      <c r="N226" t="str">
        <f t="shared" si="23"/>
        <v>Large Order</v>
      </c>
      <c r="O226">
        <f t="shared" si="24"/>
        <v>0</v>
      </c>
      <c r="P226">
        <f t="shared" si="25"/>
        <v>0</v>
      </c>
      <c r="Q226" t="b">
        <f t="shared" si="26"/>
        <v>0</v>
      </c>
      <c r="R226">
        <f t="shared" si="27"/>
        <v>0</v>
      </c>
      <c r="S226" s="14">
        <f>_xlfn.XLOOKUP(B226,Summary!$C$10:$C$15,Summary!$B$10:$B$15)</f>
        <v>0.24</v>
      </c>
      <c r="T226">
        <f>IF(AND(H226="Yes",L226&lt;&gt;"Government"),G226*(_xlfn.XLOOKUP(B226,Summary!$C$10:$C$15,Summary!$B$10:$B$15)),0)</f>
        <v>0</v>
      </c>
    </row>
    <row r="227" spans="1:20" x14ac:dyDescent="0.25">
      <c r="A227">
        <v>13369</v>
      </c>
      <c r="B227" t="s">
        <v>32</v>
      </c>
      <c r="C227" t="s">
        <v>35</v>
      </c>
      <c r="D227" s="11">
        <v>700</v>
      </c>
      <c r="E227">
        <v>10.39</v>
      </c>
      <c r="F227">
        <v>12</v>
      </c>
      <c r="G227">
        <f t="shared" si="21"/>
        <v>8400</v>
      </c>
      <c r="H227" t="s">
        <v>72</v>
      </c>
      <c r="J227" s="9">
        <v>45600</v>
      </c>
      <c r="K227" t="s">
        <v>41</v>
      </c>
      <c r="L227" t="s">
        <v>24</v>
      </c>
      <c r="M227" t="str">
        <f t="shared" si="22"/>
        <v>Public Sector</v>
      </c>
      <c r="N227" t="str">
        <f t="shared" si="23"/>
        <v>Small Order</v>
      </c>
      <c r="O227">
        <f t="shared" si="24"/>
        <v>0</v>
      </c>
      <c r="P227">
        <f t="shared" si="25"/>
        <v>0</v>
      </c>
      <c r="Q227" t="b">
        <f t="shared" si="26"/>
        <v>0</v>
      </c>
      <c r="R227">
        <f t="shared" si="27"/>
        <v>0</v>
      </c>
      <c r="S227" s="14">
        <f>_xlfn.XLOOKUP(B227,Summary!$C$10:$C$15,Summary!$B$10:$B$15)</f>
        <v>0.23</v>
      </c>
      <c r="T227">
        <f>IF(AND(H227="Yes",L227&lt;&gt;"Government"),G227*(_xlfn.XLOOKUP(B227,Summary!$C$10:$C$15,Summary!$B$10:$B$15)),0)</f>
        <v>0</v>
      </c>
    </row>
    <row r="228" spans="1:20" x14ac:dyDescent="0.25">
      <c r="A228">
        <v>55702</v>
      </c>
      <c r="B228" t="s">
        <v>43</v>
      </c>
      <c r="C228" t="s">
        <v>30</v>
      </c>
      <c r="D228" s="11">
        <v>2498</v>
      </c>
      <c r="E228">
        <v>5.8100000000000005</v>
      </c>
      <c r="F228">
        <v>7</v>
      </c>
      <c r="G228">
        <f t="shared" si="21"/>
        <v>17486</v>
      </c>
      <c r="H228" t="s">
        <v>71</v>
      </c>
      <c r="J228" s="9">
        <v>45149</v>
      </c>
      <c r="K228" t="s">
        <v>39</v>
      </c>
      <c r="L228" t="s">
        <v>34</v>
      </c>
      <c r="M228" t="str">
        <f t="shared" si="22"/>
        <v>Private Industry</v>
      </c>
      <c r="N228" t="str">
        <f t="shared" si="23"/>
        <v>Large Order</v>
      </c>
      <c r="O228">
        <f t="shared" si="24"/>
        <v>4021.78</v>
      </c>
      <c r="P228">
        <f t="shared" si="25"/>
        <v>4021.78</v>
      </c>
      <c r="Q228" t="b">
        <f t="shared" si="26"/>
        <v>1</v>
      </c>
      <c r="R228">
        <f t="shared" si="27"/>
        <v>4021.78</v>
      </c>
      <c r="S228" s="14">
        <f>_xlfn.XLOOKUP(B228,Summary!$C$10:$C$15,Summary!$B$10:$B$15)</f>
        <v>0.21</v>
      </c>
      <c r="T228">
        <f>IF(AND(H228="Yes",L228&lt;&gt;"Government"),G228*(_xlfn.XLOOKUP(B228,Summary!$C$10:$C$15,Summary!$B$10:$B$15)),0)</f>
        <v>3672.06</v>
      </c>
    </row>
    <row r="229" spans="1:20" x14ac:dyDescent="0.25">
      <c r="A229">
        <v>22566</v>
      </c>
      <c r="B229" t="s">
        <v>43</v>
      </c>
      <c r="C229" t="s">
        <v>30</v>
      </c>
      <c r="D229" s="11">
        <v>982</v>
      </c>
      <c r="E229">
        <v>5.46</v>
      </c>
      <c r="F229">
        <v>6</v>
      </c>
      <c r="G229">
        <f t="shared" si="21"/>
        <v>5892</v>
      </c>
      <c r="H229" t="s">
        <v>71</v>
      </c>
      <c r="J229" s="9">
        <v>45640</v>
      </c>
      <c r="K229" t="s">
        <v>41</v>
      </c>
      <c r="L229" t="s">
        <v>24</v>
      </c>
      <c r="M229" t="str">
        <f t="shared" si="22"/>
        <v>Public Sector</v>
      </c>
      <c r="N229" t="str">
        <f t="shared" si="23"/>
        <v>Small Order</v>
      </c>
      <c r="O229">
        <f t="shared" si="24"/>
        <v>1355.16</v>
      </c>
      <c r="P229">
        <f t="shared" si="25"/>
        <v>0</v>
      </c>
      <c r="Q229" t="b">
        <f t="shared" si="26"/>
        <v>0</v>
      </c>
      <c r="R229">
        <f t="shared" si="27"/>
        <v>0</v>
      </c>
      <c r="S229" s="14">
        <f>_xlfn.XLOOKUP(B229,Summary!$C$10:$C$15,Summary!$B$10:$B$15)</f>
        <v>0.21</v>
      </c>
      <c r="T229">
        <f>IF(AND(H229="Yes",L229&lt;&gt;"Government"),G229*(_xlfn.XLOOKUP(B229,Summary!$C$10:$C$15,Summary!$B$10:$B$15)),0)</f>
        <v>0</v>
      </c>
    </row>
    <row r="230" spans="1:20" x14ac:dyDescent="0.25">
      <c r="A230">
        <v>12209</v>
      </c>
      <c r="B230" t="s">
        <v>32</v>
      </c>
      <c r="C230" t="s">
        <v>38</v>
      </c>
      <c r="D230" s="11">
        <v>2548</v>
      </c>
      <c r="E230">
        <v>260.95999999999998</v>
      </c>
      <c r="F230">
        <v>345</v>
      </c>
      <c r="G230">
        <f t="shared" si="21"/>
        <v>879060</v>
      </c>
      <c r="H230" t="s">
        <v>71</v>
      </c>
      <c r="J230" s="9">
        <v>45791</v>
      </c>
      <c r="K230" t="s">
        <v>41</v>
      </c>
      <c r="L230" t="s">
        <v>28</v>
      </c>
      <c r="M230" t="str">
        <f t="shared" si="22"/>
        <v>Private Industry</v>
      </c>
      <c r="N230" t="str">
        <f t="shared" si="23"/>
        <v>Large Order</v>
      </c>
      <c r="O230">
        <f t="shared" si="24"/>
        <v>202183.80000000002</v>
      </c>
      <c r="P230">
        <f t="shared" si="25"/>
        <v>202183.80000000002</v>
      </c>
      <c r="Q230" t="b">
        <f t="shared" si="26"/>
        <v>1</v>
      </c>
      <c r="R230">
        <f t="shared" si="27"/>
        <v>202183.80000000002</v>
      </c>
      <c r="S230" s="14">
        <f>_xlfn.XLOOKUP(B230,Summary!$C$10:$C$15,Summary!$B$10:$B$15)</f>
        <v>0.23</v>
      </c>
      <c r="T230">
        <f>IF(AND(H230="Yes",L230&lt;&gt;"Government"),G230*(_xlfn.XLOOKUP(B230,Summary!$C$10:$C$15,Summary!$B$10:$B$15)),0)</f>
        <v>202183.80000000002</v>
      </c>
    </row>
    <row r="231" spans="1:20" x14ac:dyDescent="0.25">
      <c r="A231">
        <v>62488</v>
      </c>
      <c r="B231" t="s">
        <v>27</v>
      </c>
      <c r="C231" t="s">
        <v>36</v>
      </c>
      <c r="D231" s="11">
        <v>2877</v>
      </c>
      <c r="E231">
        <v>120.3</v>
      </c>
      <c r="F231">
        <v>164</v>
      </c>
      <c r="G231">
        <f t="shared" si="21"/>
        <v>471828</v>
      </c>
      <c r="H231" t="s">
        <v>71</v>
      </c>
      <c r="J231" s="9">
        <v>45126</v>
      </c>
      <c r="K231" t="s">
        <v>39</v>
      </c>
      <c r="L231" t="s">
        <v>24</v>
      </c>
      <c r="M231" t="str">
        <f t="shared" si="22"/>
        <v>Public Sector</v>
      </c>
      <c r="N231" t="str">
        <f t="shared" si="23"/>
        <v>Large Order</v>
      </c>
      <c r="O231">
        <f t="shared" si="24"/>
        <v>108520.44</v>
      </c>
      <c r="P231">
        <f t="shared" si="25"/>
        <v>0</v>
      </c>
      <c r="Q231" t="b">
        <f t="shared" si="26"/>
        <v>0</v>
      </c>
      <c r="R231">
        <f t="shared" si="27"/>
        <v>0</v>
      </c>
      <c r="S231" s="14">
        <f>_xlfn.XLOOKUP(B231,Summary!$C$10:$C$15,Summary!$B$10:$B$15)</f>
        <v>0.19</v>
      </c>
      <c r="T231">
        <f>IF(AND(H231="Yes",L231&lt;&gt;"Government"),G231*(_xlfn.XLOOKUP(B231,Summary!$C$10:$C$15,Summary!$B$10:$B$15)),0)</f>
        <v>0</v>
      </c>
    </row>
    <row r="232" spans="1:20" x14ac:dyDescent="0.25">
      <c r="A232">
        <v>69840</v>
      </c>
      <c r="B232" t="s">
        <v>27</v>
      </c>
      <c r="C232" t="s">
        <v>38</v>
      </c>
      <c r="D232" s="11">
        <v>472</v>
      </c>
      <c r="E232">
        <v>260.33999999999997</v>
      </c>
      <c r="F232">
        <v>316</v>
      </c>
      <c r="G232">
        <f t="shared" si="21"/>
        <v>149152</v>
      </c>
      <c r="H232" t="s">
        <v>72</v>
      </c>
      <c r="J232" s="9">
        <v>45115</v>
      </c>
      <c r="K232" t="s">
        <v>41</v>
      </c>
      <c r="L232" t="s">
        <v>31</v>
      </c>
      <c r="M232" t="str">
        <f t="shared" si="22"/>
        <v>Private Industry</v>
      </c>
      <c r="N232" t="str">
        <f t="shared" si="23"/>
        <v>Small Order</v>
      </c>
      <c r="O232">
        <f t="shared" si="24"/>
        <v>0</v>
      </c>
      <c r="P232">
        <f t="shared" si="25"/>
        <v>0</v>
      </c>
      <c r="Q232" t="b">
        <f t="shared" si="26"/>
        <v>0</v>
      </c>
      <c r="R232">
        <f t="shared" si="27"/>
        <v>0</v>
      </c>
      <c r="S232" s="14">
        <f>_xlfn.XLOOKUP(B232,Summary!$C$10:$C$15,Summary!$B$10:$B$15)</f>
        <v>0.19</v>
      </c>
      <c r="T232">
        <f>IF(AND(H232="Yes",L232&lt;&gt;"Government"),G232*(_xlfn.XLOOKUP(B232,Summary!$C$10:$C$15,Summary!$B$10:$B$15)),0)</f>
        <v>0</v>
      </c>
    </row>
    <row r="233" spans="1:20" x14ac:dyDescent="0.25">
      <c r="A233">
        <v>42141</v>
      </c>
      <c r="B233" t="s">
        <v>29</v>
      </c>
      <c r="C233" t="s">
        <v>35</v>
      </c>
      <c r="D233" s="11">
        <v>2167</v>
      </c>
      <c r="E233">
        <v>10.94</v>
      </c>
      <c r="F233">
        <v>14</v>
      </c>
      <c r="G233">
        <f t="shared" si="21"/>
        <v>30338</v>
      </c>
      <c r="H233" t="s">
        <v>72</v>
      </c>
      <c r="J233" s="9">
        <v>45668</v>
      </c>
      <c r="K233" t="s">
        <v>41</v>
      </c>
      <c r="L233" t="s">
        <v>28</v>
      </c>
      <c r="M233" t="str">
        <f t="shared" si="22"/>
        <v>Private Industry</v>
      </c>
      <c r="N233" t="str">
        <f t="shared" si="23"/>
        <v>Large Order</v>
      </c>
      <c r="O233">
        <f t="shared" si="24"/>
        <v>0</v>
      </c>
      <c r="P233">
        <f t="shared" si="25"/>
        <v>0</v>
      </c>
      <c r="Q233" t="b">
        <f t="shared" si="26"/>
        <v>0</v>
      </c>
      <c r="R233">
        <f t="shared" si="27"/>
        <v>0</v>
      </c>
      <c r="S233" s="14">
        <f>_xlfn.XLOOKUP(B233,Summary!$C$10:$C$15,Summary!$B$10:$B$15)</f>
        <v>0.22</v>
      </c>
      <c r="T233">
        <f>IF(AND(H233="Yes",L233&lt;&gt;"Government"),G233*(_xlfn.XLOOKUP(B233,Summary!$C$10:$C$15,Summary!$B$10:$B$15)),0)</f>
        <v>0</v>
      </c>
    </row>
    <row r="234" spans="1:20" x14ac:dyDescent="0.25">
      <c r="A234">
        <v>79904</v>
      </c>
      <c r="B234" t="s">
        <v>29</v>
      </c>
      <c r="C234" t="s">
        <v>30</v>
      </c>
      <c r="D234" s="11">
        <v>293</v>
      </c>
      <c r="E234">
        <v>5.48</v>
      </c>
      <c r="F234">
        <v>7</v>
      </c>
      <c r="G234">
        <f t="shared" si="21"/>
        <v>2051</v>
      </c>
      <c r="H234" t="s">
        <v>71</v>
      </c>
      <c r="J234" s="9">
        <v>45579</v>
      </c>
      <c r="K234" t="s">
        <v>41</v>
      </c>
      <c r="L234" t="s">
        <v>24</v>
      </c>
      <c r="M234" t="str">
        <f t="shared" si="22"/>
        <v>Public Sector</v>
      </c>
      <c r="N234" t="str">
        <f t="shared" si="23"/>
        <v>Small Order</v>
      </c>
      <c r="O234">
        <f t="shared" si="24"/>
        <v>471.73</v>
      </c>
      <c r="P234">
        <f t="shared" si="25"/>
        <v>0</v>
      </c>
      <c r="Q234" t="b">
        <f t="shared" si="26"/>
        <v>0</v>
      </c>
      <c r="R234">
        <f t="shared" si="27"/>
        <v>0</v>
      </c>
      <c r="S234" s="14">
        <f>_xlfn.XLOOKUP(B234,Summary!$C$10:$C$15,Summary!$B$10:$B$15)</f>
        <v>0.22</v>
      </c>
      <c r="T234">
        <f>IF(AND(H234="Yes",L234&lt;&gt;"Government"),G234*(_xlfn.XLOOKUP(B234,Summary!$C$10:$C$15,Summary!$B$10:$B$15)),0)</f>
        <v>0</v>
      </c>
    </row>
    <row r="235" spans="1:20" x14ac:dyDescent="0.25">
      <c r="A235">
        <v>49321</v>
      </c>
      <c r="B235" t="s">
        <v>32</v>
      </c>
      <c r="C235" t="s">
        <v>35</v>
      </c>
      <c r="D235" s="11">
        <v>1598</v>
      </c>
      <c r="E235">
        <v>10.4</v>
      </c>
      <c r="F235">
        <v>12</v>
      </c>
      <c r="G235">
        <f t="shared" si="21"/>
        <v>19176</v>
      </c>
      <c r="H235" t="s">
        <v>72</v>
      </c>
      <c r="J235" s="9">
        <v>45733</v>
      </c>
      <c r="K235" t="s">
        <v>40</v>
      </c>
      <c r="L235" t="s">
        <v>24</v>
      </c>
      <c r="M235" t="str">
        <f t="shared" si="22"/>
        <v>Public Sector</v>
      </c>
      <c r="N235" t="str">
        <f t="shared" si="23"/>
        <v>Large Order</v>
      </c>
      <c r="O235">
        <f t="shared" si="24"/>
        <v>0</v>
      </c>
      <c r="P235">
        <f t="shared" si="25"/>
        <v>0</v>
      </c>
      <c r="Q235" t="b">
        <f t="shared" si="26"/>
        <v>0</v>
      </c>
      <c r="R235">
        <f t="shared" si="27"/>
        <v>0</v>
      </c>
      <c r="S235" s="14">
        <f>_xlfn.XLOOKUP(B235,Summary!$C$10:$C$15,Summary!$B$10:$B$15)</f>
        <v>0.23</v>
      </c>
      <c r="T235">
        <f>IF(AND(H235="Yes",L235&lt;&gt;"Government"),G235*(_xlfn.XLOOKUP(B235,Summary!$C$10:$C$15,Summary!$B$10:$B$15)),0)</f>
        <v>0</v>
      </c>
    </row>
    <row r="236" spans="1:20" x14ac:dyDescent="0.25">
      <c r="A236">
        <v>87142</v>
      </c>
      <c r="B236" t="s">
        <v>27</v>
      </c>
      <c r="C236" t="s">
        <v>36</v>
      </c>
      <c r="D236" s="11">
        <v>472</v>
      </c>
      <c r="E236">
        <v>120.48</v>
      </c>
      <c r="F236">
        <v>143</v>
      </c>
      <c r="G236">
        <f t="shared" si="21"/>
        <v>67496</v>
      </c>
      <c r="H236" t="s">
        <v>71</v>
      </c>
      <c r="J236" s="9">
        <v>45068</v>
      </c>
      <c r="K236" t="s">
        <v>41</v>
      </c>
      <c r="L236" t="s">
        <v>31</v>
      </c>
      <c r="M236" t="str">
        <f t="shared" si="22"/>
        <v>Private Industry</v>
      </c>
      <c r="N236" t="str">
        <f t="shared" si="23"/>
        <v>Small Order</v>
      </c>
      <c r="O236">
        <f t="shared" si="24"/>
        <v>15524.08</v>
      </c>
      <c r="P236">
        <f t="shared" si="25"/>
        <v>15524.08</v>
      </c>
      <c r="Q236" t="b">
        <f t="shared" si="26"/>
        <v>1</v>
      </c>
      <c r="R236">
        <f t="shared" si="27"/>
        <v>15524.08</v>
      </c>
      <c r="S236" s="14">
        <f>_xlfn.XLOOKUP(B236,Summary!$C$10:$C$15,Summary!$B$10:$B$15)</f>
        <v>0.19</v>
      </c>
      <c r="T236">
        <f>IF(AND(H236="Yes",L236&lt;&gt;"Government"),G236*(_xlfn.XLOOKUP(B236,Summary!$C$10:$C$15,Summary!$B$10:$B$15)),0)</f>
        <v>12824.24</v>
      </c>
    </row>
    <row r="237" spans="1:20" x14ac:dyDescent="0.25">
      <c r="A237">
        <v>98093</v>
      </c>
      <c r="B237" t="s">
        <v>42</v>
      </c>
      <c r="C237" t="s">
        <v>36</v>
      </c>
      <c r="D237" s="11">
        <v>1498</v>
      </c>
      <c r="E237">
        <v>120.98</v>
      </c>
      <c r="F237">
        <v>134</v>
      </c>
      <c r="G237">
        <f t="shared" si="21"/>
        <v>200732</v>
      </c>
      <c r="H237" t="s">
        <v>71</v>
      </c>
      <c r="J237" s="9">
        <v>45450</v>
      </c>
      <c r="K237" t="s">
        <v>40</v>
      </c>
      <c r="L237" t="s">
        <v>24</v>
      </c>
      <c r="M237" t="str">
        <f t="shared" si="22"/>
        <v>Public Sector</v>
      </c>
      <c r="N237" t="str">
        <f t="shared" si="23"/>
        <v>Small Order</v>
      </c>
      <c r="O237">
        <f t="shared" si="24"/>
        <v>46168.36</v>
      </c>
      <c r="P237">
        <f t="shared" si="25"/>
        <v>0</v>
      </c>
      <c r="Q237" t="b">
        <f t="shared" si="26"/>
        <v>0</v>
      </c>
      <c r="R237">
        <f t="shared" si="27"/>
        <v>0</v>
      </c>
      <c r="S237" s="14">
        <f>_xlfn.XLOOKUP(B237,Summary!$C$10:$C$15,Summary!$B$10:$B$15)</f>
        <v>0.24</v>
      </c>
      <c r="T237">
        <f>IF(AND(H237="Yes",L237&lt;&gt;"Government"),G237*(_xlfn.XLOOKUP(B237,Summary!$C$10:$C$15,Summary!$B$10:$B$15)),0)</f>
        <v>0</v>
      </c>
    </row>
    <row r="238" spans="1:20" x14ac:dyDescent="0.25">
      <c r="A238">
        <v>61192</v>
      </c>
      <c r="B238" t="s">
        <v>44</v>
      </c>
      <c r="C238" t="s">
        <v>30</v>
      </c>
      <c r="D238" s="11">
        <v>921</v>
      </c>
      <c r="E238">
        <v>5.46</v>
      </c>
      <c r="F238">
        <v>7</v>
      </c>
      <c r="G238">
        <f t="shared" si="21"/>
        <v>6447</v>
      </c>
      <c r="H238" t="s">
        <v>72</v>
      </c>
      <c r="J238" s="9">
        <v>45590</v>
      </c>
      <c r="K238" t="s">
        <v>26</v>
      </c>
      <c r="L238" t="s">
        <v>28</v>
      </c>
      <c r="M238" t="str">
        <f t="shared" si="22"/>
        <v>Private Industry</v>
      </c>
      <c r="N238" t="str">
        <f t="shared" si="23"/>
        <v>Small Order</v>
      </c>
      <c r="O238">
        <f t="shared" si="24"/>
        <v>0</v>
      </c>
      <c r="P238">
        <f t="shared" si="25"/>
        <v>0</v>
      </c>
      <c r="Q238" t="b">
        <f t="shared" si="26"/>
        <v>0</v>
      </c>
      <c r="R238">
        <f t="shared" si="27"/>
        <v>0</v>
      </c>
      <c r="S238" s="14">
        <f>_xlfn.XLOOKUP(B238,Summary!$C$10:$C$15,Summary!$B$10:$B$15)</f>
        <v>0.2</v>
      </c>
      <c r="T238">
        <f>IF(AND(H238="Yes",L238&lt;&gt;"Government"),G238*(_xlfn.XLOOKUP(B238,Summary!$C$10:$C$15,Summary!$B$10:$B$15)),0)</f>
        <v>0</v>
      </c>
    </row>
    <row r="239" spans="1:20" x14ac:dyDescent="0.25">
      <c r="A239">
        <v>76234</v>
      </c>
      <c r="B239" t="s">
        <v>32</v>
      </c>
      <c r="C239" t="s">
        <v>30</v>
      </c>
      <c r="D239" s="11">
        <v>711</v>
      </c>
      <c r="E239">
        <v>5.57</v>
      </c>
      <c r="F239">
        <v>9</v>
      </c>
      <c r="G239">
        <f t="shared" si="21"/>
        <v>6399</v>
      </c>
      <c r="H239" t="s">
        <v>72</v>
      </c>
      <c r="J239" s="9">
        <v>45183</v>
      </c>
      <c r="K239" t="s">
        <v>40</v>
      </c>
      <c r="L239" t="s">
        <v>28</v>
      </c>
      <c r="M239" t="str">
        <f t="shared" si="22"/>
        <v>Private Industry</v>
      </c>
      <c r="N239" t="str">
        <f t="shared" si="23"/>
        <v>Small Order</v>
      </c>
      <c r="O239">
        <f t="shared" si="24"/>
        <v>0</v>
      </c>
      <c r="P239">
        <f t="shared" si="25"/>
        <v>0</v>
      </c>
      <c r="Q239" t="b">
        <f t="shared" si="26"/>
        <v>0</v>
      </c>
      <c r="R239">
        <f t="shared" si="27"/>
        <v>0</v>
      </c>
      <c r="S239" s="14">
        <f>_xlfn.XLOOKUP(B239,Summary!$C$10:$C$15,Summary!$B$10:$B$15)</f>
        <v>0.23</v>
      </c>
      <c r="T239">
        <f>IF(AND(H239="Yes",L239&lt;&gt;"Government"),G239*(_xlfn.XLOOKUP(B239,Summary!$C$10:$C$15,Summary!$B$10:$B$15)),0)</f>
        <v>0</v>
      </c>
    </row>
    <row r="240" spans="1:20" x14ac:dyDescent="0.25">
      <c r="A240">
        <v>88319</v>
      </c>
      <c r="B240" t="s">
        <v>42</v>
      </c>
      <c r="C240" t="s">
        <v>25</v>
      </c>
      <c r="D240" s="11">
        <v>521</v>
      </c>
      <c r="E240">
        <v>3.69</v>
      </c>
      <c r="F240">
        <v>6</v>
      </c>
      <c r="G240">
        <f t="shared" si="21"/>
        <v>3126</v>
      </c>
      <c r="H240" t="s">
        <v>71</v>
      </c>
      <c r="J240" s="9">
        <v>45433</v>
      </c>
      <c r="K240" t="s">
        <v>40</v>
      </c>
      <c r="L240" t="s">
        <v>24</v>
      </c>
      <c r="M240" t="str">
        <f t="shared" si="22"/>
        <v>Public Sector</v>
      </c>
      <c r="N240" t="str">
        <f t="shared" si="23"/>
        <v>Small Order</v>
      </c>
      <c r="O240">
        <f t="shared" si="24"/>
        <v>718.98</v>
      </c>
      <c r="P240">
        <f t="shared" si="25"/>
        <v>0</v>
      </c>
      <c r="Q240" t="b">
        <f t="shared" si="26"/>
        <v>0</v>
      </c>
      <c r="R240">
        <f t="shared" si="27"/>
        <v>0</v>
      </c>
      <c r="S240" s="14">
        <f>_xlfn.XLOOKUP(B240,Summary!$C$10:$C$15,Summary!$B$10:$B$15)</f>
        <v>0.24</v>
      </c>
      <c r="T240">
        <f>IF(AND(H240="Yes",L240&lt;&gt;"Government"),G240*(_xlfn.XLOOKUP(B240,Summary!$C$10:$C$15,Summary!$B$10:$B$15)),0)</f>
        <v>0</v>
      </c>
    </row>
    <row r="241" spans="1:20" x14ac:dyDescent="0.25">
      <c r="A241">
        <v>17096</v>
      </c>
      <c r="B241" t="s">
        <v>42</v>
      </c>
      <c r="C241" t="s">
        <v>36</v>
      </c>
      <c r="D241" s="11">
        <v>905</v>
      </c>
      <c r="E241">
        <v>120.62</v>
      </c>
      <c r="F241">
        <v>171</v>
      </c>
      <c r="G241">
        <f t="shared" si="21"/>
        <v>154755</v>
      </c>
      <c r="H241" t="s">
        <v>71</v>
      </c>
      <c r="J241" s="9">
        <v>45432</v>
      </c>
      <c r="K241" t="s">
        <v>41</v>
      </c>
      <c r="L241" t="s">
        <v>24</v>
      </c>
      <c r="M241" t="str">
        <f t="shared" si="22"/>
        <v>Public Sector</v>
      </c>
      <c r="N241" t="str">
        <f t="shared" si="23"/>
        <v>Small Order</v>
      </c>
      <c r="O241">
        <f t="shared" si="24"/>
        <v>35593.65</v>
      </c>
      <c r="P241">
        <f t="shared" si="25"/>
        <v>0</v>
      </c>
      <c r="Q241" t="b">
        <f t="shared" si="26"/>
        <v>0</v>
      </c>
      <c r="R241">
        <f t="shared" si="27"/>
        <v>0</v>
      </c>
      <c r="S241" s="14">
        <f>_xlfn.XLOOKUP(B241,Summary!$C$10:$C$15,Summary!$B$10:$B$15)</f>
        <v>0.24</v>
      </c>
      <c r="T241">
        <f>IF(AND(H241="Yes",L241&lt;&gt;"Government"),G241*(_xlfn.XLOOKUP(B241,Summary!$C$10:$C$15,Summary!$B$10:$B$15)),0)</f>
        <v>0</v>
      </c>
    </row>
    <row r="242" spans="1:20" x14ac:dyDescent="0.25">
      <c r="A242">
        <v>73641</v>
      </c>
      <c r="B242" t="s">
        <v>44</v>
      </c>
      <c r="C242" t="s">
        <v>25</v>
      </c>
      <c r="D242" s="11">
        <v>1937</v>
      </c>
      <c r="E242">
        <v>3.71</v>
      </c>
      <c r="F242">
        <v>5</v>
      </c>
      <c r="G242">
        <f t="shared" si="21"/>
        <v>9685</v>
      </c>
      <c r="H242" t="s">
        <v>71</v>
      </c>
      <c r="J242" s="9">
        <v>45205</v>
      </c>
      <c r="K242" t="s">
        <v>41</v>
      </c>
      <c r="L242" t="s">
        <v>31</v>
      </c>
      <c r="M242" t="str">
        <f t="shared" si="22"/>
        <v>Private Industry</v>
      </c>
      <c r="N242" t="str">
        <f t="shared" si="23"/>
        <v>Large Order</v>
      </c>
      <c r="O242">
        <f t="shared" si="24"/>
        <v>2227.5500000000002</v>
      </c>
      <c r="P242">
        <f t="shared" si="25"/>
        <v>2227.5500000000002</v>
      </c>
      <c r="Q242" t="b">
        <f t="shared" si="26"/>
        <v>1</v>
      </c>
      <c r="R242">
        <f t="shared" si="27"/>
        <v>2227.5500000000002</v>
      </c>
      <c r="S242" s="14">
        <f>_xlfn.XLOOKUP(B242,Summary!$C$10:$C$15,Summary!$B$10:$B$15)</f>
        <v>0.2</v>
      </c>
      <c r="T242">
        <f>IF(AND(H242="Yes",L242&lt;&gt;"Government"),G242*(_xlfn.XLOOKUP(B242,Summary!$C$10:$C$15,Summary!$B$10:$B$15)),0)</f>
        <v>1937</v>
      </c>
    </row>
    <row r="243" spans="1:20" x14ac:dyDescent="0.25">
      <c r="A243">
        <v>61157</v>
      </c>
      <c r="B243" t="s">
        <v>42</v>
      </c>
      <c r="C243" t="s">
        <v>36</v>
      </c>
      <c r="D243" s="11">
        <v>2861</v>
      </c>
      <c r="E243">
        <v>120.82</v>
      </c>
      <c r="F243">
        <v>168</v>
      </c>
      <c r="G243">
        <f t="shared" si="21"/>
        <v>480648</v>
      </c>
      <c r="H243" t="s">
        <v>71</v>
      </c>
      <c r="J243" s="9">
        <v>45435</v>
      </c>
      <c r="K243" t="s">
        <v>40</v>
      </c>
      <c r="L243" t="s">
        <v>28</v>
      </c>
      <c r="M243" t="str">
        <f t="shared" si="22"/>
        <v>Private Industry</v>
      </c>
      <c r="N243" t="str">
        <f t="shared" si="23"/>
        <v>Large Order</v>
      </c>
      <c r="O243">
        <f t="shared" si="24"/>
        <v>110549.04000000001</v>
      </c>
      <c r="P243">
        <f t="shared" si="25"/>
        <v>110549.04000000001</v>
      </c>
      <c r="Q243" t="b">
        <f t="shared" si="26"/>
        <v>1</v>
      </c>
      <c r="R243">
        <f t="shared" si="27"/>
        <v>110549.04000000001</v>
      </c>
      <c r="S243" s="14">
        <f>_xlfn.XLOOKUP(B243,Summary!$C$10:$C$15,Summary!$B$10:$B$15)</f>
        <v>0.24</v>
      </c>
      <c r="T243">
        <f>IF(AND(H243="Yes",L243&lt;&gt;"Government"),G243*(_xlfn.XLOOKUP(B243,Summary!$C$10:$C$15,Summary!$B$10:$B$15)),0)</f>
        <v>115355.51999999999</v>
      </c>
    </row>
    <row r="244" spans="1:20" x14ac:dyDescent="0.25">
      <c r="A244">
        <v>40315</v>
      </c>
      <c r="B244" t="s">
        <v>32</v>
      </c>
      <c r="C244" t="s">
        <v>25</v>
      </c>
      <c r="D244" s="11">
        <v>2851</v>
      </c>
      <c r="E244">
        <v>3.33</v>
      </c>
      <c r="F244">
        <v>5</v>
      </c>
      <c r="G244">
        <f t="shared" si="21"/>
        <v>14255</v>
      </c>
      <c r="H244" t="s">
        <v>71</v>
      </c>
      <c r="J244" s="9">
        <v>45665</v>
      </c>
      <c r="K244" t="s">
        <v>39</v>
      </c>
      <c r="L244" t="s">
        <v>24</v>
      </c>
      <c r="M244" t="str">
        <f t="shared" si="22"/>
        <v>Public Sector</v>
      </c>
      <c r="N244" t="str">
        <f t="shared" si="23"/>
        <v>Large Order</v>
      </c>
      <c r="O244">
        <f t="shared" si="24"/>
        <v>3278.65</v>
      </c>
      <c r="P244">
        <f t="shared" si="25"/>
        <v>0</v>
      </c>
      <c r="Q244" t="b">
        <f t="shared" si="26"/>
        <v>0</v>
      </c>
      <c r="R244">
        <f t="shared" si="27"/>
        <v>0</v>
      </c>
      <c r="S244" s="14">
        <f>_xlfn.XLOOKUP(B244,Summary!$C$10:$C$15,Summary!$B$10:$B$15)</f>
        <v>0.23</v>
      </c>
      <c r="T244">
        <f>IF(AND(H244="Yes",L244&lt;&gt;"Government"),G244*(_xlfn.XLOOKUP(B244,Summary!$C$10:$C$15,Summary!$B$10:$B$15)),0)</f>
        <v>0</v>
      </c>
    </row>
    <row r="245" spans="1:20" x14ac:dyDescent="0.25">
      <c r="A245">
        <v>78166</v>
      </c>
      <c r="B245" t="s">
        <v>32</v>
      </c>
      <c r="C245" t="s">
        <v>25</v>
      </c>
      <c r="D245" s="11">
        <v>1482</v>
      </c>
      <c r="E245">
        <v>3.68</v>
      </c>
      <c r="F245">
        <v>5</v>
      </c>
      <c r="G245">
        <f t="shared" si="21"/>
        <v>7410</v>
      </c>
      <c r="H245" t="s">
        <v>72</v>
      </c>
      <c r="J245" s="9">
        <v>45688</v>
      </c>
      <c r="K245" t="s">
        <v>41</v>
      </c>
      <c r="L245" t="s">
        <v>33</v>
      </c>
      <c r="M245" t="str">
        <f t="shared" si="22"/>
        <v>Private Industry</v>
      </c>
      <c r="N245" t="str">
        <f t="shared" si="23"/>
        <v>Small Order</v>
      </c>
      <c r="O245">
        <f t="shared" si="24"/>
        <v>0</v>
      </c>
      <c r="P245">
        <f t="shared" si="25"/>
        <v>0</v>
      </c>
      <c r="Q245" t="b">
        <f t="shared" si="26"/>
        <v>0</v>
      </c>
      <c r="R245">
        <f t="shared" si="27"/>
        <v>0</v>
      </c>
      <c r="S245" s="14">
        <f>_xlfn.XLOOKUP(B245,Summary!$C$10:$C$15,Summary!$B$10:$B$15)</f>
        <v>0.23</v>
      </c>
      <c r="T245">
        <f>IF(AND(H245="Yes",L245&lt;&gt;"Government"),G245*(_xlfn.XLOOKUP(B245,Summary!$C$10:$C$15,Summary!$B$10:$B$15)),0)</f>
        <v>0</v>
      </c>
    </row>
    <row r="246" spans="1:20" x14ac:dyDescent="0.25">
      <c r="A246">
        <v>19862</v>
      </c>
      <c r="B246" t="s">
        <v>29</v>
      </c>
      <c r="C246" t="s">
        <v>30</v>
      </c>
      <c r="D246" s="11">
        <v>1384</v>
      </c>
      <c r="E246">
        <v>5.84</v>
      </c>
      <c r="F246">
        <v>9</v>
      </c>
      <c r="G246">
        <f t="shared" si="21"/>
        <v>12456</v>
      </c>
      <c r="H246" t="s">
        <v>71</v>
      </c>
      <c r="J246" s="9">
        <v>45378</v>
      </c>
      <c r="K246" t="s">
        <v>40</v>
      </c>
      <c r="L246" t="s">
        <v>24</v>
      </c>
      <c r="M246" t="str">
        <f t="shared" si="22"/>
        <v>Public Sector</v>
      </c>
      <c r="N246" t="str">
        <f t="shared" si="23"/>
        <v>Small Order</v>
      </c>
      <c r="O246">
        <f t="shared" si="24"/>
        <v>2864.88</v>
      </c>
      <c r="P246">
        <f t="shared" si="25"/>
        <v>0</v>
      </c>
      <c r="Q246" t="b">
        <f t="shared" si="26"/>
        <v>0</v>
      </c>
      <c r="R246">
        <f t="shared" si="27"/>
        <v>0</v>
      </c>
      <c r="S246" s="14">
        <f>_xlfn.XLOOKUP(B246,Summary!$C$10:$C$15,Summary!$B$10:$B$15)</f>
        <v>0.22</v>
      </c>
      <c r="T246">
        <f>IF(AND(H246="Yes",L246&lt;&gt;"Government"),G246*(_xlfn.XLOOKUP(B246,Summary!$C$10:$C$15,Summary!$B$10:$B$15)),0)</f>
        <v>0</v>
      </c>
    </row>
    <row r="247" spans="1:20" x14ac:dyDescent="0.25">
      <c r="A247">
        <v>89487</v>
      </c>
      <c r="B247" t="s">
        <v>44</v>
      </c>
      <c r="C247" t="s">
        <v>35</v>
      </c>
      <c r="D247" s="11">
        <v>1295</v>
      </c>
      <c r="E247">
        <v>10.34</v>
      </c>
      <c r="F247">
        <v>14</v>
      </c>
      <c r="G247">
        <f t="shared" si="21"/>
        <v>18130</v>
      </c>
      <c r="H247" t="s">
        <v>71</v>
      </c>
      <c r="J247" s="9">
        <v>45733</v>
      </c>
      <c r="K247" t="s">
        <v>39</v>
      </c>
      <c r="L247" t="s">
        <v>31</v>
      </c>
      <c r="M247" t="str">
        <f t="shared" si="22"/>
        <v>Private Industry</v>
      </c>
      <c r="N247" t="str">
        <f t="shared" si="23"/>
        <v>Small Order</v>
      </c>
      <c r="O247">
        <f t="shared" si="24"/>
        <v>4169.9000000000005</v>
      </c>
      <c r="P247">
        <f t="shared" si="25"/>
        <v>4169.9000000000005</v>
      </c>
      <c r="Q247" t="b">
        <f t="shared" si="26"/>
        <v>1</v>
      </c>
      <c r="R247">
        <f t="shared" si="27"/>
        <v>4169.9000000000005</v>
      </c>
      <c r="S247" s="14">
        <f>_xlfn.XLOOKUP(B247,Summary!$C$10:$C$15,Summary!$B$10:$B$15)</f>
        <v>0.2</v>
      </c>
      <c r="T247">
        <f>IF(AND(H247="Yes",L247&lt;&gt;"Government"),G247*(_xlfn.XLOOKUP(B247,Summary!$C$10:$C$15,Summary!$B$10:$B$15)),0)</f>
        <v>3626</v>
      </c>
    </row>
    <row r="248" spans="1:20" x14ac:dyDescent="0.25">
      <c r="A248">
        <v>56221</v>
      </c>
      <c r="B248" t="s">
        <v>42</v>
      </c>
      <c r="C248" t="s">
        <v>38</v>
      </c>
      <c r="D248" s="11">
        <v>1375</v>
      </c>
      <c r="E248">
        <v>260.67</v>
      </c>
      <c r="F248">
        <v>303</v>
      </c>
      <c r="G248">
        <f t="shared" si="21"/>
        <v>416625</v>
      </c>
      <c r="H248" t="s">
        <v>71</v>
      </c>
      <c r="J248" s="9">
        <v>45140</v>
      </c>
      <c r="K248" t="s">
        <v>40</v>
      </c>
      <c r="L248" t="s">
        <v>31</v>
      </c>
      <c r="M248" t="str">
        <f t="shared" si="22"/>
        <v>Private Industry</v>
      </c>
      <c r="N248" t="str">
        <f t="shared" si="23"/>
        <v>Small Order</v>
      </c>
      <c r="O248">
        <f t="shared" si="24"/>
        <v>95823.75</v>
      </c>
      <c r="P248">
        <f t="shared" si="25"/>
        <v>95823.75</v>
      </c>
      <c r="Q248" t="b">
        <f t="shared" si="26"/>
        <v>1</v>
      </c>
      <c r="R248">
        <f t="shared" si="27"/>
        <v>95823.75</v>
      </c>
      <c r="S248" s="14">
        <f>_xlfn.XLOOKUP(B248,Summary!$C$10:$C$15,Summary!$B$10:$B$15)</f>
        <v>0.24</v>
      </c>
      <c r="T248">
        <f>IF(AND(H248="Yes",L248&lt;&gt;"Government"),G248*(_xlfn.XLOOKUP(B248,Summary!$C$10:$C$15,Summary!$B$10:$B$15)),0)</f>
        <v>99990</v>
      </c>
    </row>
    <row r="249" spans="1:20" x14ac:dyDescent="0.25">
      <c r="A249">
        <v>97472</v>
      </c>
      <c r="B249" t="s">
        <v>42</v>
      </c>
      <c r="C249" t="s">
        <v>37</v>
      </c>
      <c r="D249" s="11">
        <v>341</v>
      </c>
      <c r="E249">
        <v>250.46</v>
      </c>
      <c r="F249">
        <v>266</v>
      </c>
      <c r="G249">
        <f t="shared" si="21"/>
        <v>90706</v>
      </c>
      <c r="H249" t="s">
        <v>71</v>
      </c>
      <c r="J249" s="9">
        <v>45107</v>
      </c>
      <c r="K249" t="s">
        <v>41</v>
      </c>
      <c r="L249" t="s">
        <v>33</v>
      </c>
      <c r="M249" t="str">
        <f t="shared" si="22"/>
        <v>Private Industry</v>
      </c>
      <c r="N249" t="str">
        <f t="shared" si="23"/>
        <v>Small Order</v>
      </c>
      <c r="O249">
        <f t="shared" si="24"/>
        <v>20862.38</v>
      </c>
      <c r="P249">
        <f t="shared" si="25"/>
        <v>20862.38</v>
      </c>
      <c r="Q249" t="b">
        <f t="shared" si="26"/>
        <v>1</v>
      </c>
      <c r="R249">
        <f t="shared" si="27"/>
        <v>20862.38</v>
      </c>
      <c r="S249" s="14">
        <f>_xlfn.XLOOKUP(B249,Summary!$C$10:$C$15,Summary!$B$10:$B$15)</f>
        <v>0.24</v>
      </c>
      <c r="T249">
        <f>IF(AND(H249="Yes",L249&lt;&gt;"Government"),G249*(_xlfn.XLOOKUP(B249,Summary!$C$10:$C$15,Summary!$B$10:$B$15)),0)</f>
        <v>21769.439999999999</v>
      </c>
    </row>
    <row r="250" spans="1:20" x14ac:dyDescent="0.25">
      <c r="A250">
        <v>89163</v>
      </c>
      <c r="B250" t="s">
        <v>42</v>
      </c>
      <c r="C250" t="s">
        <v>25</v>
      </c>
      <c r="D250" s="11">
        <v>2821</v>
      </c>
      <c r="E250">
        <v>3.37</v>
      </c>
      <c r="F250">
        <v>4</v>
      </c>
      <c r="G250">
        <f t="shared" si="21"/>
        <v>11284</v>
      </c>
      <c r="H250" t="s">
        <v>71</v>
      </c>
      <c r="J250" s="9">
        <v>45183</v>
      </c>
      <c r="K250" t="s">
        <v>41</v>
      </c>
      <c r="L250" t="s">
        <v>33</v>
      </c>
      <c r="M250" t="str">
        <f t="shared" si="22"/>
        <v>Private Industry</v>
      </c>
      <c r="N250" t="str">
        <f t="shared" si="23"/>
        <v>Large Order</v>
      </c>
      <c r="O250">
        <f t="shared" si="24"/>
        <v>2595.3200000000002</v>
      </c>
      <c r="P250">
        <f t="shared" si="25"/>
        <v>2595.3200000000002</v>
      </c>
      <c r="Q250" t="b">
        <f t="shared" si="26"/>
        <v>1</v>
      </c>
      <c r="R250">
        <f t="shared" si="27"/>
        <v>2595.3200000000002</v>
      </c>
      <c r="S250" s="14">
        <f>_xlfn.XLOOKUP(B250,Summary!$C$10:$C$15,Summary!$B$10:$B$15)</f>
        <v>0.24</v>
      </c>
      <c r="T250">
        <f>IF(AND(H250="Yes",L250&lt;&gt;"Government"),G250*(_xlfn.XLOOKUP(B250,Summary!$C$10:$C$15,Summary!$B$10:$B$15)),0)</f>
        <v>2708.16</v>
      </c>
    </row>
    <row r="251" spans="1:20" x14ac:dyDescent="0.25">
      <c r="A251">
        <v>78006</v>
      </c>
      <c r="B251" t="s">
        <v>27</v>
      </c>
      <c r="C251" t="s">
        <v>30</v>
      </c>
      <c r="D251" s="11">
        <v>1958</v>
      </c>
      <c r="E251">
        <v>5.33</v>
      </c>
      <c r="F251">
        <v>7</v>
      </c>
      <c r="G251">
        <f t="shared" si="21"/>
        <v>13706</v>
      </c>
      <c r="H251" t="s">
        <v>71</v>
      </c>
      <c r="J251" s="9">
        <v>45580</v>
      </c>
      <c r="K251" t="s">
        <v>39</v>
      </c>
      <c r="L251" t="s">
        <v>24</v>
      </c>
      <c r="M251" t="str">
        <f t="shared" si="22"/>
        <v>Public Sector</v>
      </c>
      <c r="N251" t="str">
        <f t="shared" si="23"/>
        <v>Large Order</v>
      </c>
      <c r="O251">
        <f t="shared" si="24"/>
        <v>3152.38</v>
      </c>
      <c r="P251">
        <f t="shared" si="25"/>
        <v>0</v>
      </c>
      <c r="Q251" t="b">
        <f t="shared" si="26"/>
        <v>0</v>
      </c>
      <c r="R251">
        <f t="shared" si="27"/>
        <v>0</v>
      </c>
      <c r="S251" s="14">
        <f>_xlfn.XLOOKUP(B251,Summary!$C$10:$C$15,Summary!$B$10:$B$15)</f>
        <v>0.19</v>
      </c>
      <c r="T251">
        <f>IF(AND(H251="Yes",L251&lt;&gt;"Government"),G251*(_xlfn.XLOOKUP(B251,Summary!$C$10:$C$15,Summary!$B$10:$B$15)),0)</f>
        <v>0</v>
      </c>
    </row>
    <row r="252" spans="1:20" x14ac:dyDescent="0.25">
      <c r="A252">
        <v>98881</v>
      </c>
      <c r="B252" t="s">
        <v>32</v>
      </c>
      <c r="C252" t="s">
        <v>36</v>
      </c>
      <c r="D252" s="11">
        <v>2110</v>
      </c>
      <c r="E252">
        <v>120.48</v>
      </c>
      <c r="F252">
        <v>150</v>
      </c>
      <c r="G252">
        <f t="shared" si="21"/>
        <v>316500</v>
      </c>
      <c r="H252" t="s">
        <v>72</v>
      </c>
      <c r="J252" s="9">
        <v>45362</v>
      </c>
      <c r="K252" t="s">
        <v>40</v>
      </c>
      <c r="L252" t="s">
        <v>33</v>
      </c>
      <c r="M252" t="str">
        <f t="shared" si="22"/>
        <v>Private Industry</v>
      </c>
      <c r="N252" t="str">
        <f t="shared" si="23"/>
        <v>Large Order</v>
      </c>
      <c r="O252">
        <f t="shared" si="24"/>
        <v>0</v>
      </c>
      <c r="P252">
        <f t="shared" si="25"/>
        <v>0</v>
      </c>
      <c r="Q252" t="b">
        <f t="shared" si="26"/>
        <v>0</v>
      </c>
      <c r="R252">
        <f t="shared" si="27"/>
        <v>0</v>
      </c>
      <c r="S252" s="14">
        <f>_xlfn.XLOOKUP(B252,Summary!$C$10:$C$15,Summary!$B$10:$B$15)</f>
        <v>0.23</v>
      </c>
      <c r="T252">
        <f>IF(AND(H252="Yes",L252&lt;&gt;"Government"),G252*(_xlfn.XLOOKUP(B252,Summary!$C$10:$C$15,Summary!$B$10:$B$15)),0)</f>
        <v>0</v>
      </c>
    </row>
    <row r="253" spans="1:20" x14ac:dyDescent="0.25">
      <c r="A253">
        <v>57174</v>
      </c>
      <c r="B253" t="s">
        <v>32</v>
      </c>
      <c r="C253" t="s">
        <v>35</v>
      </c>
      <c r="D253" s="11">
        <v>2409</v>
      </c>
      <c r="E253">
        <v>10.78</v>
      </c>
      <c r="F253">
        <v>12</v>
      </c>
      <c r="G253">
        <f t="shared" si="21"/>
        <v>28908</v>
      </c>
      <c r="H253" t="s">
        <v>72</v>
      </c>
      <c r="J253" s="9">
        <v>45791</v>
      </c>
      <c r="K253" t="s">
        <v>40</v>
      </c>
      <c r="L253" t="s">
        <v>24</v>
      </c>
      <c r="M253" t="str">
        <f t="shared" si="22"/>
        <v>Public Sector</v>
      </c>
      <c r="N253" t="str">
        <f t="shared" si="23"/>
        <v>Large Order</v>
      </c>
      <c r="O253">
        <f t="shared" si="24"/>
        <v>0</v>
      </c>
      <c r="P253">
        <f t="shared" si="25"/>
        <v>0</v>
      </c>
      <c r="Q253" t="b">
        <f t="shared" si="26"/>
        <v>0</v>
      </c>
      <c r="R253">
        <f t="shared" si="27"/>
        <v>0</v>
      </c>
      <c r="S253" s="14">
        <f>_xlfn.XLOOKUP(B253,Summary!$C$10:$C$15,Summary!$B$10:$B$15)</f>
        <v>0.23</v>
      </c>
      <c r="T253">
        <f>IF(AND(H253="Yes",L253&lt;&gt;"Government"),G253*(_xlfn.XLOOKUP(B253,Summary!$C$10:$C$15,Summary!$B$10:$B$15)),0)</f>
        <v>0</v>
      </c>
    </row>
    <row r="254" spans="1:20" x14ac:dyDescent="0.25">
      <c r="A254">
        <v>41943</v>
      </c>
      <c r="B254" t="s">
        <v>32</v>
      </c>
      <c r="C254" t="s">
        <v>35</v>
      </c>
      <c r="D254" s="11">
        <v>1823</v>
      </c>
      <c r="E254">
        <v>10.45</v>
      </c>
      <c r="F254">
        <v>11</v>
      </c>
      <c r="G254">
        <f t="shared" si="21"/>
        <v>20053</v>
      </c>
      <c r="H254" t="s">
        <v>72</v>
      </c>
      <c r="J254" s="9">
        <v>45527</v>
      </c>
      <c r="K254" t="s">
        <v>39</v>
      </c>
      <c r="L254" t="s">
        <v>33</v>
      </c>
      <c r="M254" t="str">
        <f t="shared" si="22"/>
        <v>Private Industry</v>
      </c>
      <c r="N254" t="str">
        <f t="shared" si="23"/>
        <v>Large Order</v>
      </c>
      <c r="O254">
        <f t="shared" si="24"/>
        <v>0</v>
      </c>
      <c r="P254">
        <f t="shared" si="25"/>
        <v>0</v>
      </c>
      <c r="Q254" t="b">
        <f t="shared" si="26"/>
        <v>0</v>
      </c>
      <c r="R254">
        <f t="shared" si="27"/>
        <v>0</v>
      </c>
      <c r="S254" s="14">
        <f>_xlfn.XLOOKUP(B254,Summary!$C$10:$C$15,Summary!$B$10:$B$15)</f>
        <v>0.23</v>
      </c>
      <c r="T254">
        <f>IF(AND(H254="Yes",L254&lt;&gt;"Government"),G254*(_xlfn.XLOOKUP(B254,Summary!$C$10:$C$15,Summary!$B$10:$B$15)),0)</f>
        <v>0</v>
      </c>
    </row>
    <row r="255" spans="1:20" x14ac:dyDescent="0.25">
      <c r="A255">
        <v>63797</v>
      </c>
      <c r="B255" t="s">
        <v>43</v>
      </c>
      <c r="C255" t="s">
        <v>37</v>
      </c>
      <c r="D255" s="11">
        <v>2294</v>
      </c>
      <c r="E255">
        <v>250.07</v>
      </c>
      <c r="F255">
        <v>266</v>
      </c>
      <c r="G255">
        <f t="shared" si="21"/>
        <v>610204</v>
      </c>
      <c r="H255" t="s">
        <v>72</v>
      </c>
      <c r="J255" s="9">
        <v>45475</v>
      </c>
      <c r="K255" t="s">
        <v>41</v>
      </c>
      <c r="L255" t="s">
        <v>34</v>
      </c>
      <c r="M255" t="str">
        <f t="shared" si="22"/>
        <v>Private Industry</v>
      </c>
      <c r="N255" t="str">
        <f t="shared" si="23"/>
        <v>Large Order</v>
      </c>
      <c r="O255">
        <f t="shared" si="24"/>
        <v>0</v>
      </c>
      <c r="P255">
        <f t="shared" si="25"/>
        <v>0</v>
      </c>
      <c r="Q255" t="b">
        <f t="shared" si="26"/>
        <v>0</v>
      </c>
      <c r="R255">
        <f t="shared" si="27"/>
        <v>0</v>
      </c>
      <c r="S255" s="14">
        <f>_xlfn.XLOOKUP(B255,Summary!$C$10:$C$15,Summary!$B$10:$B$15)</f>
        <v>0.21</v>
      </c>
      <c r="T255">
        <f>IF(AND(H255="Yes",L255&lt;&gt;"Government"),G255*(_xlfn.XLOOKUP(B255,Summary!$C$10:$C$15,Summary!$B$10:$B$15)),0)</f>
        <v>0</v>
      </c>
    </row>
    <row r="256" spans="1:20" x14ac:dyDescent="0.25">
      <c r="A256">
        <v>38609</v>
      </c>
      <c r="B256" t="s">
        <v>44</v>
      </c>
      <c r="C256" t="s">
        <v>37</v>
      </c>
      <c r="D256" s="11">
        <v>2001</v>
      </c>
      <c r="E256">
        <v>250.13</v>
      </c>
      <c r="F256">
        <v>278</v>
      </c>
      <c r="G256">
        <f t="shared" si="21"/>
        <v>556278</v>
      </c>
      <c r="H256" t="s">
        <v>72</v>
      </c>
      <c r="J256" s="9">
        <v>45325</v>
      </c>
      <c r="K256" t="s">
        <v>26</v>
      </c>
      <c r="L256" t="s">
        <v>34</v>
      </c>
      <c r="M256" t="str">
        <f t="shared" si="22"/>
        <v>Private Industry</v>
      </c>
      <c r="N256" t="str">
        <f t="shared" si="23"/>
        <v>Large Order</v>
      </c>
      <c r="O256">
        <f t="shared" si="24"/>
        <v>0</v>
      </c>
      <c r="P256">
        <f t="shared" si="25"/>
        <v>0</v>
      </c>
      <c r="Q256" t="b">
        <f t="shared" si="26"/>
        <v>0</v>
      </c>
      <c r="R256">
        <f t="shared" si="27"/>
        <v>0</v>
      </c>
      <c r="S256" s="14">
        <f>_xlfn.XLOOKUP(B256,Summary!$C$10:$C$15,Summary!$B$10:$B$15)</f>
        <v>0.2</v>
      </c>
      <c r="T256">
        <f>IF(AND(H256="Yes",L256&lt;&gt;"Government"),G256*(_xlfn.XLOOKUP(B256,Summary!$C$10:$C$15,Summary!$B$10:$B$15)),0)</f>
        <v>0</v>
      </c>
    </row>
    <row r="257" spans="1:20" x14ac:dyDescent="0.25">
      <c r="A257">
        <v>77275</v>
      </c>
      <c r="B257" t="s">
        <v>44</v>
      </c>
      <c r="C257" t="s">
        <v>36</v>
      </c>
      <c r="D257" s="11">
        <v>384</v>
      </c>
      <c r="E257">
        <v>120.2</v>
      </c>
      <c r="F257">
        <v>180</v>
      </c>
      <c r="G257">
        <f t="shared" si="21"/>
        <v>69120</v>
      </c>
      <c r="H257" t="s">
        <v>71</v>
      </c>
      <c r="J257" s="9">
        <v>45133</v>
      </c>
      <c r="K257" t="s">
        <v>41</v>
      </c>
      <c r="L257" t="s">
        <v>28</v>
      </c>
      <c r="M257" t="str">
        <f t="shared" si="22"/>
        <v>Private Industry</v>
      </c>
      <c r="N257" t="str">
        <f t="shared" si="23"/>
        <v>Small Order</v>
      </c>
      <c r="O257">
        <f t="shared" si="24"/>
        <v>15897.6</v>
      </c>
      <c r="P257">
        <f t="shared" si="25"/>
        <v>15897.6</v>
      </c>
      <c r="Q257" t="b">
        <f t="shared" si="26"/>
        <v>1</v>
      </c>
      <c r="R257">
        <f t="shared" si="27"/>
        <v>15897.6</v>
      </c>
      <c r="S257" s="14">
        <f>_xlfn.XLOOKUP(B257,Summary!$C$10:$C$15,Summary!$B$10:$B$15)</f>
        <v>0.2</v>
      </c>
      <c r="T257">
        <f>IF(AND(H257="Yes",L257&lt;&gt;"Government"),G257*(_xlfn.XLOOKUP(B257,Summary!$C$10:$C$15,Summary!$B$10:$B$15)),0)</f>
        <v>13824</v>
      </c>
    </row>
    <row r="258" spans="1:20" x14ac:dyDescent="0.25">
      <c r="A258">
        <v>41743</v>
      </c>
      <c r="B258" t="s">
        <v>42</v>
      </c>
      <c r="C258" t="s">
        <v>30</v>
      </c>
      <c r="D258" s="11">
        <v>1660</v>
      </c>
      <c r="E258">
        <v>5.15</v>
      </c>
      <c r="F258">
        <v>6</v>
      </c>
      <c r="G258">
        <f t="shared" si="21"/>
        <v>9960</v>
      </c>
      <c r="H258" t="s">
        <v>71</v>
      </c>
      <c r="J258" s="9">
        <v>45074</v>
      </c>
      <c r="K258" t="s">
        <v>39</v>
      </c>
      <c r="L258" t="s">
        <v>33</v>
      </c>
      <c r="M258" t="str">
        <f t="shared" si="22"/>
        <v>Private Industry</v>
      </c>
      <c r="N258" t="str">
        <f t="shared" si="23"/>
        <v>Large Order</v>
      </c>
      <c r="O258">
        <f t="shared" si="24"/>
        <v>2290.8000000000002</v>
      </c>
      <c r="P258">
        <f t="shared" si="25"/>
        <v>2290.8000000000002</v>
      </c>
      <c r="Q258" t="b">
        <f t="shared" si="26"/>
        <v>1</v>
      </c>
      <c r="R258">
        <f t="shared" si="27"/>
        <v>2290.8000000000002</v>
      </c>
      <c r="S258" s="14">
        <f>_xlfn.XLOOKUP(B258,Summary!$C$10:$C$15,Summary!$B$10:$B$15)</f>
        <v>0.24</v>
      </c>
      <c r="T258">
        <f>IF(AND(H258="Yes",L258&lt;&gt;"Government"),G258*(_xlfn.XLOOKUP(B258,Summary!$C$10:$C$15,Summary!$B$10:$B$15)),0)</f>
        <v>2390.4</v>
      </c>
    </row>
    <row r="259" spans="1:20" x14ac:dyDescent="0.25">
      <c r="A259">
        <v>36924</v>
      </c>
      <c r="B259" t="s">
        <v>44</v>
      </c>
      <c r="C259" t="s">
        <v>37</v>
      </c>
      <c r="D259" s="11">
        <v>1326</v>
      </c>
      <c r="E259">
        <v>250.41</v>
      </c>
      <c r="F259">
        <v>291</v>
      </c>
      <c r="G259">
        <f t="shared" ref="G259:G322" si="28">D259*F259</f>
        <v>385866</v>
      </c>
      <c r="H259" t="s">
        <v>71</v>
      </c>
      <c r="J259" s="9">
        <v>45154</v>
      </c>
      <c r="K259" t="s">
        <v>39</v>
      </c>
      <c r="L259" t="s">
        <v>24</v>
      </c>
      <c r="M259" t="str">
        <f t="shared" ref="M259:M322" si="29">IF(L259="Government","Public Sector","Private Industry")</f>
        <v>Public Sector</v>
      </c>
      <c r="N259" t="str">
        <f t="shared" ref="N259:N322" si="30">IF(D259&gt;1500,"Large Order","Small Order")</f>
        <v>Small Order</v>
      </c>
      <c r="O259">
        <f t="shared" ref="O259:O322" si="31">IF(H259="Yes",G259*0.23,0)</f>
        <v>88749.180000000008</v>
      </c>
      <c r="P259">
        <f t="shared" ref="P259:P322" si="32">IF(Q259,G259*0.23,0)</f>
        <v>0</v>
      </c>
      <c r="Q259" t="b">
        <f t="shared" ref="Q259:Q322" si="33">AND(H259="Yes",L259&lt;&gt;"Government")</f>
        <v>0</v>
      </c>
      <c r="R259">
        <f t="shared" ref="R259:R322" si="34">IF(AND(H259="Yes",L259&lt;&gt;"Government"),G259*0.23,0)</f>
        <v>0</v>
      </c>
      <c r="S259" s="14">
        <f>_xlfn.XLOOKUP(B259,Summary!$C$10:$C$15,Summary!$B$10:$B$15)</f>
        <v>0.2</v>
      </c>
      <c r="T259">
        <f>IF(AND(H259="Yes",L259&lt;&gt;"Government"),G259*(_xlfn.XLOOKUP(B259,Summary!$C$10:$C$15,Summary!$B$10:$B$15)),0)</f>
        <v>0</v>
      </c>
    </row>
    <row r="260" spans="1:20" x14ac:dyDescent="0.25">
      <c r="A260">
        <v>30707</v>
      </c>
      <c r="B260" t="s">
        <v>42</v>
      </c>
      <c r="C260" t="s">
        <v>35</v>
      </c>
      <c r="D260" s="11">
        <v>367</v>
      </c>
      <c r="E260">
        <v>10.79</v>
      </c>
      <c r="F260">
        <v>14</v>
      </c>
      <c r="G260">
        <f t="shared" si="28"/>
        <v>5138</v>
      </c>
      <c r="H260" t="s">
        <v>72</v>
      </c>
      <c r="J260" s="9">
        <v>45177</v>
      </c>
      <c r="K260" t="s">
        <v>40</v>
      </c>
      <c r="L260" t="s">
        <v>31</v>
      </c>
      <c r="M260" t="str">
        <f t="shared" si="29"/>
        <v>Private Industry</v>
      </c>
      <c r="N260" t="str">
        <f t="shared" si="30"/>
        <v>Small Order</v>
      </c>
      <c r="O260">
        <f t="shared" si="31"/>
        <v>0</v>
      </c>
      <c r="P260">
        <f t="shared" si="32"/>
        <v>0</v>
      </c>
      <c r="Q260" t="b">
        <f t="shared" si="33"/>
        <v>0</v>
      </c>
      <c r="R260">
        <f t="shared" si="34"/>
        <v>0</v>
      </c>
      <c r="S260" s="14">
        <f>_xlfn.XLOOKUP(B260,Summary!$C$10:$C$15,Summary!$B$10:$B$15)</f>
        <v>0.24</v>
      </c>
      <c r="T260">
        <f>IF(AND(H260="Yes",L260&lt;&gt;"Government"),G260*(_xlfn.XLOOKUP(B260,Summary!$C$10:$C$15,Summary!$B$10:$B$15)),0)</f>
        <v>0</v>
      </c>
    </row>
    <row r="261" spans="1:20" x14ac:dyDescent="0.25">
      <c r="A261">
        <v>29548</v>
      </c>
      <c r="B261" t="s">
        <v>42</v>
      </c>
      <c r="C261" t="s">
        <v>30</v>
      </c>
      <c r="D261" s="11">
        <v>958</v>
      </c>
      <c r="E261">
        <v>5.82</v>
      </c>
      <c r="F261">
        <v>7</v>
      </c>
      <c r="G261">
        <f t="shared" si="28"/>
        <v>6706</v>
      </c>
      <c r="H261" t="s">
        <v>71</v>
      </c>
      <c r="J261" s="9">
        <v>45314</v>
      </c>
      <c r="K261" t="s">
        <v>26</v>
      </c>
      <c r="L261" t="s">
        <v>34</v>
      </c>
      <c r="M261" t="str">
        <f t="shared" si="29"/>
        <v>Private Industry</v>
      </c>
      <c r="N261" t="str">
        <f t="shared" si="30"/>
        <v>Small Order</v>
      </c>
      <c r="O261">
        <f t="shared" si="31"/>
        <v>1542.38</v>
      </c>
      <c r="P261">
        <f t="shared" si="32"/>
        <v>1542.38</v>
      </c>
      <c r="Q261" t="b">
        <f t="shared" si="33"/>
        <v>1</v>
      </c>
      <c r="R261">
        <f t="shared" si="34"/>
        <v>1542.38</v>
      </c>
      <c r="S261" s="14">
        <f>_xlfn.XLOOKUP(B261,Summary!$C$10:$C$15,Summary!$B$10:$B$15)</f>
        <v>0.24</v>
      </c>
      <c r="T261">
        <f>IF(AND(H261="Yes",L261&lt;&gt;"Government"),G261*(_xlfn.XLOOKUP(B261,Summary!$C$10:$C$15,Summary!$B$10:$B$15)),0)</f>
        <v>1609.4399999999998</v>
      </c>
    </row>
    <row r="262" spans="1:20" x14ac:dyDescent="0.25">
      <c r="A262">
        <v>97337</v>
      </c>
      <c r="B262" t="s">
        <v>43</v>
      </c>
      <c r="C262" t="s">
        <v>37</v>
      </c>
      <c r="D262" s="11">
        <v>267</v>
      </c>
      <c r="E262">
        <v>250.17</v>
      </c>
      <c r="F262">
        <v>273</v>
      </c>
      <c r="G262">
        <f t="shared" si="28"/>
        <v>72891</v>
      </c>
      <c r="H262" t="s">
        <v>71</v>
      </c>
      <c r="J262" s="9">
        <v>45447</v>
      </c>
      <c r="K262" t="s">
        <v>41</v>
      </c>
      <c r="L262" t="s">
        <v>24</v>
      </c>
      <c r="M262" t="str">
        <f t="shared" si="29"/>
        <v>Public Sector</v>
      </c>
      <c r="N262" t="str">
        <f t="shared" si="30"/>
        <v>Small Order</v>
      </c>
      <c r="O262">
        <f t="shared" si="31"/>
        <v>16764.93</v>
      </c>
      <c r="P262">
        <f t="shared" si="32"/>
        <v>0</v>
      </c>
      <c r="Q262" t="b">
        <f t="shared" si="33"/>
        <v>0</v>
      </c>
      <c r="R262">
        <f t="shared" si="34"/>
        <v>0</v>
      </c>
      <c r="S262" s="14">
        <f>_xlfn.XLOOKUP(B262,Summary!$C$10:$C$15,Summary!$B$10:$B$15)</f>
        <v>0.21</v>
      </c>
      <c r="T262">
        <f>IF(AND(H262="Yes",L262&lt;&gt;"Government"),G262*(_xlfn.XLOOKUP(B262,Summary!$C$10:$C$15,Summary!$B$10:$B$15)),0)</f>
        <v>0</v>
      </c>
    </row>
    <row r="263" spans="1:20" x14ac:dyDescent="0.25">
      <c r="A263">
        <v>50487</v>
      </c>
      <c r="B263" t="s">
        <v>44</v>
      </c>
      <c r="C263" t="s">
        <v>36</v>
      </c>
      <c r="D263" s="11">
        <v>1582</v>
      </c>
      <c r="E263">
        <v>120.04</v>
      </c>
      <c r="F263">
        <v>181</v>
      </c>
      <c r="G263">
        <f t="shared" si="28"/>
        <v>286342</v>
      </c>
      <c r="H263" t="s">
        <v>71</v>
      </c>
      <c r="J263" s="9">
        <v>45726</v>
      </c>
      <c r="K263" t="s">
        <v>40</v>
      </c>
      <c r="L263" t="s">
        <v>24</v>
      </c>
      <c r="M263" t="str">
        <f t="shared" si="29"/>
        <v>Public Sector</v>
      </c>
      <c r="N263" t="str">
        <f t="shared" si="30"/>
        <v>Large Order</v>
      </c>
      <c r="O263">
        <f t="shared" si="31"/>
        <v>65858.66</v>
      </c>
      <c r="P263">
        <f t="shared" si="32"/>
        <v>0</v>
      </c>
      <c r="Q263" t="b">
        <f t="shared" si="33"/>
        <v>0</v>
      </c>
      <c r="R263">
        <f t="shared" si="34"/>
        <v>0</v>
      </c>
      <c r="S263" s="14">
        <f>_xlfn.XLOOKUP(B263,Summary!$C$10:$C$15,Summary!$B$10:$B$15)</f>
        <v>0.2</v>
      </c>
      <c r="T263">
        <f>IF(AND(H263="Yes",L263&lt;&gt;"Government"),G263*(_xlfn.XLOOKUP(B263,Summary!$C$10:$C$15,Summary!$B$10:$B$15)),0)</f>
        <v>0</v>
      </c>
    </row>
    <row r="264" spans="1:20" x14ac:dyDescent="0.25">
      <c r="A264">
        <v>56317</v>
      </c>
      <c r="B264" t="s">
        <v>29</v>
      </c>
      <c r="C264" t="s">
        <v>37</v>
      </c>
      <c r="D264" s="11">
        <v>959</v>
      </c>
      <c r="E264">
        <v>250.39</v>
      </c>
      <c r="F264">
        <v>261</v>
      </c>
      <c r="G264">
        <f t="shared" si="28"/>
        <v>250299</v>
      </c>
      <c r="H264" t="s">
        <v>72</v>
      </c>
      <c r="J264" s="9">
        <v>45219</v>
      </c>
      <c r="K264" t="s">
        <v>40</v>
      </c>
      <c r="L264" t="s">
        <v>34</v>
      </c>
      <c r="M264" t="str">
        <f t="shared" si="29"/>
        <v>Private Industry</v>
      </c>
      <c r="N264" t="str">
        <f t="shared" si="30"/>
        <v>Small Order</v>
      </c>
      <c r="O264">
        <f t="shared" si="31"/>
        <v>0</v>
      </c>
      <c r="P264">
        <f t="shared" si="32"/>
        <v>0</v>
      </c>
      <c r="Q264" t="b">
        <f t="shared" si="33"/>
        <v>0</v>
      </c>
      <c r="R264">
        <f t="shared" si="34"/>
        <v>0</v>
      </c>
      <c r="S264" s="14">
        <f>_xlfn.XLOOKUP(B264,Summary!$C$10:$C$15,Summary!$B$10:$B$15)</f>
        <v>0.22</v>
      </c>
      <c r="T264">
        <f>IF(AND(H264="Yes",L264&lt;&gt;"Government"),G264*(_xlfn.XLOOKUP(B264,Summary!$C$10:$C$15,Summary!$B$10:$B$15)),0)</f>
        <v>0</v>
      </c>
    </row>
    <row r="265" spans="1:20" x14ac:dyDescent="0.25">
      <c r="A265">
        <v>83130</v>
      </c>
      <c r="B265" t="s">
        <v>44</v>
      </c>
      <c r="C265" t="s">
        <v>30</v>
      </c>
      <c r="D265" s="11">
        <v>1611</v>
      </c>
      <c r="E265">
        <v>5.24</v>
      </c>
      <c r="F265">
        <v>7</v>
      </c>
      <c r="G265">
        <f t="shared" si="28"/>
        <v>11277</v>
      </c>
      <c r="H265" t="s">
        <v>72</v>
      </c>
      <c r="J265" s="9">
        <v>45188</v>
      </c>
      <c r="K265" t="s">
        <v>40</v>
      </c>
      <c r="L265" t="s">
        <v>24</v>
      </c>
      <c r="M265" t="str">
        <f t="shared" si="29"/>
        <v>Public Sector</v>
      </c>
      <c r="N265" t="str">
        <f t="shared" si="30"/>
        <v>Large Order</v>
      </c>
      <c r="O265">
        <f t="shared" si="31"/>
        <v>0</v>
      </c>
      <c r="P265">
        <f t="shared" si="32"/>
        <v>0</v>
      </c>
      <c r="Q265" t="b">
        <f t="shared" si="33"/>
        <v>0</v>
      </c>
      <c r="R265">
        <f t="shared" si="34"/>
        <v>0</v>
      </c>
      <c r="S265" s="14">
        <f>_xlfn.XLOOKUP(B265,Summary!$C$10:$C$15,Summary!$B$10:$B$15)</f>
        <v>0.2</v>
      </c>
      <c r="T265">
        <f>IF(AND(H265="Yes",L265&lt;&gt;"Government"),G265*(_xlfn.XLOOKUP(B265,Summary!$C$10:$C$15,Summary!$B$10:$B$15)),0)</f>
        <v>0</v>
      </c>
    </row>
    <row r="266" spans="1:20" x14ac:dyDescent="0.25">
      <c r="A266">
        <v>41771</v>
      </c>
      <c r="B266" t="s">
        <v>29</v>
      </c>
      <c r="C266" t="s">
        <v>36</v>
      </c>
      <c r="D266" s="11">
        <v>639</v>
      </c>
      <c r="E266">
        <v>120.61</v>
      </c>
      <c r="F266">
        <v>145</v>
      </c>
      <c r="G266">
        <f t="shared" si="28"/>
        <v>92655</v>
      </c>
      <c r="H266" t="s">
        <v>72</v>
      </c>
      <c r="J266" s="9">
        <v>45315</v>
      </c>
      <c r="K266" t="s">
        <v>41</v>
      </c>
      <c r="L266" t="s">
        <v>24</v>
      </c>
      <c r="M266" t="str">
        <f t="shared" si="29"/>
        <v>Public Sector</v>
      </c>
      <c r="N266" t="str">
        <f t="shared" si="30"/>
        <v>Small Order</v>
      </c>
      <c r="O266">
        <f t="shared" si="31"/>
        <v>0</v>
      </c>
      <c r="P266">
        <f t="shared" si="32"/>
        <v>0</v>
      </c>
      <c r="Q266" t="b">
        <f t="shared" si="33"/>
        <v>0</v>
      </c>
      <c r="R266">
        <f t="shared" si="34"/>
        <v>0</v>
      </c>
      <c r="S266" s="14">
        <f>_xlfn.XLOOKUP(B266,Summary!$C$10:$C$15,Summary!$B$10:$B$15)</f>
        <v>0.22</v>
      </c>
      <c r="T266">
        <f>IF(AND(H266="Yes",L266&lt;&gt;"Government"),G266*(_xlfn.XLOOKUP(B266,Summary!$C$10:$C$15,Summary!$B$10:$B$15)),0)</f>
        <v>0</v>
      </c>
    </row>
    <row r="267" spans="1:20" x14ac:dyDescent="0.25">
      <c r="A267">
        <v>75058</v>
      </c>
      <c r="B267" t="s">
        <v>27</v>
      </c>
      <c r="C267" t="s">
        <v>30</v>
      </c>
      <c r="D267" s="11">
        <v>1199</v>
      </c>
      <c r="E267">
        <v>5.4</v>
      </c>
      <c r="F267">
        <v>7</v>
      </c>
      <c r="G267">
        <f t="shared" si="28"/>
        <v>8393</v>
      </c>
      <c r="H267" t="s">
        <v>72</v>
      </c>
      <c r="J267" s="9">
        <v>45720</v>
      </c>
      <c r="K267" t="s">
        <v>41</v>
      </c>
      <c r="L267" t="s">
        <v>24</v>
      </c>
      <c r="M267" t="str">
        <f t="shared" si="29"/>
        <v>Public Sector</v>
      </c>
      <c r="N267" t="str">
        <f t="shared" si="30"/>
        <v>Small Order</v>
      </c>
      <c r="O267">
        <f t="shared" si="31"/>
        <v>0</v>
      </c>
      <c r="P267">
        <f t="shared" si="32"/>
        <v>0</v>
      </c>
      <c r="Q267" t="b">
        <f t="shared" si="33"/>
        <v>0</v>
      </c>
      <c r="R267">
        <f t="shared" si="34"/>
        <v>0</v>
      </c>
      <c r="S267" s="14">
        <f>_xlfn.XLOOKUP(B267,Summary!$C$10:$C$15,Summary!$B$10:$B$15)</f>
        <v>0.19</v>
      </c>
      <c r="T267">
        <f>IF(AND(H267="Yes",L267&lt;&gt;"Government"),G267*(_xlfn.XLOOKUP(B267,Summary!$C$10:$C$15,Summary!$B$10:$B$15)),0)</f>
        <v>0</v>
      </c>
    </row>
    <row r="268" spans="1:20" x14ac:dyDescent="0.25">
      <c r="A268">
        <v>60714</v>
      </c>
      <c r="B268" t="s">
        <v>43</v>
      </c>
      <c r="C268" t="s">
        <v>30</v>
      </c>
      <c r="D268" s="11">
        <v>2797</v>
      </c>
      <c r="E268">
        <v>5.42</v>
      </c>
      <c r="F268">
        <v>7</v>
      </c>
      <c r="G268">
        <f t="shared" si="28"/>
        <v>19579</v>
      </c>
      <c r="H268" t="s">
        <v>71</v>
      </c>
      <c r="J268" s="9">
        <v>45370</v>
      </c>
      <c r="K268" t="s">
        <v>40</v>
      </c>
      <c r="L268" t="s">
        <v>33</v>
      </c>
      <c r="M268" t="str">
        <f t="shared" si="29"/>
        <v>Private Industry</v>
      </c>
      <c r="N268" t="str">
        <f t="shared" si="30"/>
        <v>Large Order</v>
      </c>
      <c r="O268">
        <f t="shared" si="31"/>
        <v>4503.17</v>
      </c>
      <c r="P268">
        <f t="shared" si="32"/>
        <v>4503.17</v>
      </c>
      <c r="Q268" t="b">
        <f t="shared" si="33"/>
        <v>1</v>
      </c>
      <c r="R268">
        <f t="shared" si="34"/>
        <v>4503.17</v>
      </c>
      <c r="S268" s="14">
        <f>_xlfn.XLOOKUP(B268,Summary!$C$10:$C$15,Summary!$B$10:$B$15)</f>
        <v>0.21</v>
      </c>
      <c r="T268">
        <f>IF(AND(H268="Yes",L268&lt;&gt;"Government"),G268*(_xlfn.XLOOKUP(B268,Summary!$C$10:$C$15,Summary!$B$10:$B$15)),0)</f>
        <v>4111.59</v>
      </c>
    </row>
    <row r="269" spans="1:20" x14ac:dyDescent="0.25">
      <c r="A269">
        <v>49817</v>
      </c>
      <c r="B269" t="s">
        <v>42</v>
      </c>
      <c r="C269" t="s">
        <v>30</v>
      </c>
      <c r="D269" s="11">
        <v>690</v>
      </c>
      <c r="E269">
        <v>5.36</v>
      </c>
      <c r="F269">
        <v>8</v>
      </c>
      <c r="G269">
        <f t="shared" si="28"/>
        <v>5520</v>
      </c>
      <c r="H269" t="s">
        <v>71</v>
      </c>
      <c r="J269" s="9">
        <v>45301</v>
      </c>
      <c r="K269" t="s">
        <v>39</v>
      </c>
      <c r="L269" t="s">
        <v>31</v>
      </c>
      <c r="M269" t="str">
        <f t="shared" si="29"/>
        <v>Private Industry</v>
      </c>
      <c r="N269" t="str">
        <f t="shared" si="30"/>
        <v>Small Order</v>
      </c>
      <c r="O269">
        <f t="shared" si="31"/>
        <v>1269.6000000000001</v>
      </c>
      <c r="P269">
        <f t="shared" si="32"/>
        <v>1269.6000000000001</v>
      </c>
      <c r="Q269" t="b">
        <f t="shared" si="33"/>
        <v>1</v>
      </c>
      <c r="R269">
        <f t="shared" si="34"/>
        <v>1269.6000000000001</v>
      </c>
      <c r="S269" s="14">
        <f>_xlfn.XLOOKUP(B269,Summary!$C$10:$C$15,Summary!$B$10:$B$15)</f>
        <v>0.24</v>
      </c>
      <c r="T269">
        <f>IF(AND(H269="Yes",L269&lt;&gt;"Government"),G269*(_xlfn.XLOOKUP(B269,Summary!$C$10:$C$15,Summary!$B$10:$B$15)),0)</f>
        <v>1324.8</v>
      </c>
    </row>
    <row r="270" spans="1:20" x14ac:dyDescent="0.25">
      <c r="A270">
        <v>83124</v>
      </c>
      <c r="B270" t="s">
        <v>29</v>
      </c>
      <c r="C270" t="s">
        <v>35</v>
      </c>
      <c r="D270" s="11">
        <v>1287</v>
      </c>
      <c r="E270">
        <v>10.49</v>
      </c>
      <c r="F270">
        <v>14</v>
      </c>
      <c r="G270">
        <f t="shared" si="28"/>
        <v>18018</v>
      </c>
      <c r="H270" t="s">
        <v>71</v>
      </c>
      <c r="J270" s="9">
        <v>45707</v>
      </c>
      <c r="K270" t="s">
        <v>39</v>
      </c>
      <c r="L270" t="s">
        <v>33</v>
      </c>
      <c r="M270" t="str">
        <f t="shared" si="29"/>
        <v>Private Industry</v>
      </c>
      <c r="N270" t="str">
        <f t="shared" si="30"/>
        <v>Small Order</v>
      </c>
      <c r="O270">
        <f t="shared" si="31"/>
        <v>4144.1400000000003</v>
      </c>
      <c r="P270">
        <f t="shared" si="32"/>
        <v>4144.1400000000003</v>
      </c>
      <c r="Q270" t="b">
        <f t="shared" si="33"/>
        <v>1</v>
      </c>
      <c r="R270">
        <f t="shared" si="34"/>
        <v>4144.1400000000003</v>
      </c>
      <c r="S270" s="14">
        <f>_xlfn.XLOOKUP(B270,Summary!$C$10:$C$15,Summary!$B$10:$B$15)</f>
        <v>0.22</v>
      </c>
      <c r="T270">
        <f>IF(AND(H270="Yes",L270&lt;&gt;"Government"),G270*(_xlfn.XLOOKUP(B270,Summary!$C$10:$C$15,Summary!$B$10:$B$15)),0)</f>
        <v>3963.96</v>
      </c>
    </row>
    <row r="271" spans="1:20" x14ac:dyDescent="0.25">
      <c r="A271">
        <v>82959</v>
      </c>
      <c r="B271" t="s">
        <v>32</v>
      </c>
      <c r="C271" t="s">
        <v>36</v>
      </c>
      <c r="D271" s="11">
        <v>1262</v>
      </c>
      <c r="E271">
        <v>120.05</v>
      </c>
      <c r="F271">
        <v>161</v>
      </c>
      <c r="G271">
        <f t="shared" si="28"/>
        <v>203182</v>
      </c>
      <c r="H271" t="s">
        <v>72</v>
      </c>
      <c r="J271" s="9">
        <v>45391</v>
      </c>
      <c r="K271" t="s">
        <v>40</v>
      </c>
      <c r="L271" t="s">
        <v>28</v>
      </c>
      <c r="M271" t="str">
        <f t="shared" si="29"/>
        <v>Private Industry</v>
      </c>
      <c r="N271" t="str">
        <f t="shared" si="30"/>
        <v>Small Order</v>
      </c>
      <c r="O271">
        <f t="shared" si="31"/>
        <v>0</v>
      </c>
      <c r="P271">
        <f t="shared" si="32"/>
        <v>0</v>
      </c>
      <c r="Q271" t="b">
        <f t="shared" si="33"/>
        <v>0</v>
      </c>
      <c r="R271">
        <f t="shared" si="34"/>
        <v>0</v>
      </c>
      <c r="S271" s="14">
        <f>_xlfn.XLOOKUP(B271,Summary!$C$10:$C$15,Summary!$B$10:$B$15)</f>
        <v>0.23</v>
      </c>
      <c r="T271">
        <f>IF(AND(H271="Yes",L271&lt;&gt;"Government"),G271*(_xlfn.XLOOKUP(B271,Summary!$C$10:$C$15,Summary!$B$10:$B$15)),0)</f>
        <v>0</v>
      </c>
    </row>
    <row r="272" spans="1:20" x14ac:dyDescent="0.25">
      <c r="A272">
        <v>27636</v>
      </c>
      <c r="B272" t="s">
        <v>44</v>
      </c>
      <c r="C272" t="s">
        <v>38</v>
      </c>
      <c r="D272" s="11">
        <v>1743</v>
      </c>
      <c r="E272">
        <v>260.12</v>
      </c>
      <c r="F272">
        <v>349</v>
      </c>
      <c r="G272">
        <f t="shared" si="28"/>
        <v>608307</v>
      </c>
      <c r="H272" t="s">
        <v>72</v>
      </c>
      <c r="J272" s="9">
        <v>45162</v>
      </c>
      <c r="K272" t="s">
        <v>41</v>
      </c>
      <c r="L272" t="s">
        <v>28</v>
      </c>
      <c r="M272" t="str">
        <f t="shared" si="29"/>
        <v>Private Industry</v>
      </c>
      <c r="N272" t="str">
        <f t="shared" si="30"/>
        <v>Large Order</v>
      </c>
      <c r="O272">
        <f t="shared" si="31"/>
        <v>0</v>
      </c>
      <c r="P272">
        <f t="shared" si="32"/>
        <v>0</v>
      </c>
      <c r="Q272" t="b">
        <f t="shared" si="33"/>
        <v>0</v>
      </c>
      <c r="R272">
        <f t="shared" si="34"/>
        <v>0</v>
      </c>
      <c r="S272" s="14">
        <f>_xlfn.XLOOKUP(B272,Summary!$C$10:$C$15,Summary!$B$10:$B$15)</f>
        <v>0.2</v>
      </c>
      <c r="T272">
        <f>IF(AND(H272="Yes",L272&lt;&gt;"Government"),G272*(_xlfn.XLOOKUP(B272,Summary!$C$10:$C$15,Summary!$B$10:$B$15)),0)</f>
        <v>0</v>
      </c>
    </row>
    <row r="273" spans="1:20" x14ac:dyDescent="0.25">
      <c r="A273">
        <v>64404</v>
      </c>
      <c r="B273" t="s">
        <v>27</v>
      </c>
      <c r="C273" t="s">
        <v>35</v>
      </c>
      <c r="D273" s="11">
        <v>2125</v>
      </c>
      <c r="E273">
        <v>10.48</v>
      </c>
      <c r="F273">
        <v>11</v>
      </c>
      <c r="G273">
        <f t="shared" si="28"/>
        <v>23375</v>
      </c>
      <c r="H273" t="s">
        <v>71</v>
      </c>
      <c r="J273" s="9">
        <v>45230</v>
      </c>
      <c r="K273" t="s">
        <v>40</v>
      </c>
      <c r="L273" t="s">
        <v>24</v>
      </c>
      <c r="M273" t="str">
        <f t="shared" si="29"/>
        <v>Public Sector</v>
      </c>
      <c r="N273" t="str">
        <f t="shared" si="30"/>
        <v>Large Order</v>
      </c>
      <c r="O273">
        <f t="shared" si="31"/>
        <v>5376.25</v>
      </c>
      <c r="P273">
        <f t="shared" si="32"/>
        <v>0</v>
      </c>
      <c r="Q273" t="b">
        <f t="shared" si="33"/>
        <v>0</v>
      </c>
      <c r="R273">
        <f t="shared" si="34"/>
        <v>0</v>
      </c>
      <c r="S273" s="14">
        <f>_xlfn.XLOOKUP(B273,Summary!$C$10:$C$15,Summary!$B$10:$B$15)</f>
        <v>0.19</v>
      </c>
      <c r="T273">
        <f>IF(AND(H273="Yes",L273&lt;&gt;"Government"),G273*(_xlfn.XLOOKUP(B273,Summary!$C$10:$C$15,Summary!$B$10:$B$15)),0)</f>
        <v>0</v>
      </c>
    </row>
    <row r="274" spans="1:20" x14ac:dyDescent="0.25">
      <c r="A274">
        <v>95728</v>
      </c>
      <c r="B274" t="s">
        <v>43</v>
      </c>
      <c r="C274" t="s">
        <v>35</v>
      </c>
      <c r="D274" s="11">
        <v>2663</v>
      </c>
      <c r="E274">
        <v>10.26</v>
      </c>
      <c r="F274">
        <v>11</v>
      </c>
      <c r="G274">
        <f t="shared" si="28"/>
        <v>29293</v>
      </c>
      <c r="H274" t="s">
        <v>71</v>
      </c>
      <c r="J274" s="9">
        <v>45182</v>
      </c>
      <c r="K274" t="s">
        <v>40</v>
      </c>
      <c r="L274" t="s">
        <v>24</v>
      </c>
      <c r="M274" t="str">
        <f t="shared" si="29"/>
        <v>Public Sector</v>
      </c>
      <c r="N274" t="str">
        <f t="shared" si="30"/>
        <v>Large Order</v>
      </c>
      <c r="O274">
        <f t="shared" si="31"/>
        <v>6737.39</v>
      </c>
      <c r="P274">
        <f t="shared" si="32"/>
        <v>0</v>
      </c>
      <c r="Q274" t="b">
        <f t="shared" si="33"/>
        <v>0</v>
      </c>
      <c r="R274">
        <f t="shared" si="34"/>
        <v>0</v>
      </c>
      <c r="S274" s="14">
        <f>_xlfn.XLOOKUP(B274,Summary!$C$10:$C$15,Summary!$B$10:$B$15)</f>
        <v>0.21</v>
      </c>
      <c r="T274">
        <f>IF(AND(H274="Yes",L274&lt;&gt;"Government"),G274*(_xlfn.XLOOKUP(B274,Summary!$C$10:$C$15,Summary!$B$10:$B$15)),0)</f>
        <v>0</v>
      </c>
    </row>
    <row r="275" spans="1:20" x14ac:dyDescent="0.25">
      <c r="A275">
        <v>87745</v>
      </c>
      <c r="B275" t="s">
        <v>42</v>
      </c>
      <c r="C275" t="s">
        <v>30</v>
      </c>
      <c r="D275" s="11">
        <v>546</v>
      </c>
      <c r="E275">
        <v>5.98</v>
      </c>
      <c r="F275">
        <v>9</v>
      </c>
      <c r="G275">
        <f t="shared" si="28"/>
        <v>4914</v>
      </c>
      <c r="H275" t="s">
        <v>72</v>
      </c>
      <c r="J275" s="9">
        <v>45161</v>
      </c>
      <c r="K275" t="s">
        <v>41</v>
      </c>
      <c r="L275" t="s">
        <v>34</v>
      </c>
      <c r="M275" t="str">
        <f t="shared" si="29"/>
        <v>Private Industry</v>
      </c>
      <c r="N275" t="str">
        <f t="shared" si="30"/>
        <v>Small Order</v>
      </c>
      <c r="O275">
        <f t="shared" si="31"/>
        <v>0</v>
      </c>
      <c r="P275">
        <f t="shared" si="32"/>
        <v>0</v>
      </c>
      <c r="Q275" t="b">
        <f t="shared" si="33"/>
        <v>0</v>
      </c>
      <c r="R275">
        <f t="shared" si="34"/>
        <v>0</v>
      </c>
      <c r="S275" s="14">
        <f>_xlfn.XLOOKUP(B275,Summary!$C$10:$C$15,Summary!$B$10:$B$15)</f>
        <v>0.24</v>
      </c>
      <c r="T275">
        <f>IF(AND(H275="Yes",L275&lt;&gt;"Government"),G275*(_xlfn.XLOOKUP(B275,Summary!$C$10:$C$15,Summary!$B$10:$B$15)),0)</f>
        <v>0</v>
      </c>
    </row>
    <row r="276" spans="1:20" x14ac:dyDescent="0.25">
      <c r="A276">
        <v>80718</v>
      </c>
      <c r="B276" t="s">
        <v>43</v>
      </c>
      <c r="C276" t="s">
        <v>36</v>
      </c>
      <c r="D276" s="11">
        <v>606</v>
      </c>
      <c r="E276">
        <v>120.91</v>
      </c>
      <c r="F276">
        <v>175</v>
      </c>
      <c r="G276">
        <f t="shared" si="28"/>
        <v>106050</v>
      </c>
      <c r="H276" t="s">
        <v>71</v>
      </c>
      <c r="J276" s="9">
        <v>45183</v>
      </c>
      <c r="K276" t="s">
        <v>41</v>
      </c>
      <c r="L276" t="s">
        <v>24</v>
      </c>
      <c r="M276" t="str">
        <f t="shared" si="29"/>
        <v>Public Sector</v>
      </c>
      <c r="N276" t="str">
        <f t="shared" si="30"/>
        <v>Small Order</v>
      </c>
      <c r="O276">
        <f t="shared" si="31"/>
        <v>24391.5</v>
      </c>
      <c r="P276">
        <f t="shared" si="32"/>
        <v>0</v>
      </c>
      <c r="Q276" t="b">
        <f t="shared" si="33"/>
        <v>0</v>
      </c>
      <c r="R276">
        <f t="shared" si="34"/>
        <v>0</v>
      </c>
      <c r="S276" s="14">
        <f>_xlfn.XLOOKUP(B276,Summary!$C$10:$C$15,Summary!$B$10:$B$15)</f>
        <v>0.21</v>
      </c>
      <c r="T276">
        <f>IF(AND(H276="Yes",L276&lt;&gt;"Government"),G276*(_xlfn.XLOOKUP(B276,Summary!$C$10:$C$15,Summary!$B$10:$B$15)),0)</f>
        <v>0</v>
      </c>
    </row>
    <row r="277" spans="1:20" x14ac:dyDescent="0.25">
      <c r="A277">
        <v>86993</v>
      </c>
      <c r="B277" t="s">
        <v>43</v>
      </c>
      <c r="C277" t="s">
        <v>36</v>
      </c>
      <c r="D277" s="11">
        <v>2574</v>
      </c>
      <c r="E277">
        <v>120.64</v>
      </c>
      <c r="F277">
        <v>130</v>
      </c>
      <c r="G277">
        <f t="shared" si="28"/>
        <v>334620</v>
      </c>
      <c r="H277" t="s">
        <v>71</v>
      </c>
      <c r="J277" s="9">
        <v>45627</v>
      </c>
      <c r="K277" t="s">
        <v>41</v>
      </c>
      <c r="L277" t="s">
        <v>34</v>
      </c>
      <c r="M277" t="str">
        <f t="shared" si="29"/>
        <v>Private Industry</v>
      </c>
      <c r="N277" t="str">
        <f t="shared" si="30"/>
        <v>Large Order</v>
      </c>
      <c r="O277">
        <f t="shared" si="31"/>
        <v>76962.600000000006</v>
      </c>
      <c r="P277">
        <f t="shared" si="32"/>
        <v>76962.600000000006</v>
      </c>
      <c r="Q277" t="b">
        <f t="shared" si="33"/>
        <v>1</v>
      </c>
      <c r="R277">
        <f t="shared" si="34"/>
        <v>76962.600000000006</v>
      </c>
      <c r="S277" s="14">
        <f>_xlfn.XLOOKUP(B277,Summary!$C$10:$C$15,Summary!$B$10:$B$15)</f>
        <v>0.21</v>
      </c>
      <c r="T277">
        <f>IF(AND(H277="Yes",L277&lt;&gt;"Government"),G277*(_xlfn.XLOOKUP(B277,Summary!$C$10:$C$15,Summary!$B$10:$B$15)),0)</f>
        <v>70270.2</v>
      </c>
    </row>
    <row r="278" spans="1:20" x14ac:dyDescent="0.25">
      <c r="A278">
        <v>59984</v>
      </c>
      <c r="B278" t="s">
        <v>42</v>
      </c>
      <c r="C278" t="s">
        <v>37</v>
      </c>
      <c r="D278" s="11">
        <v>1514</v>
      </c>
      <c r="E278">
        <v>250.71</v>
      </c>
      <c r="F278">
        <v>271</v>
      </c>
      <c r="G278">
        <f t="shared" si="28"/>
        <v>410294</v>
      </c>
      <c r="H278" t="s">
        <v>72</v>
      </c>
      <c r="J278" s="9">
        <v>45520</v>
      </c>
      <c r="K278" t="s">
        <v>39</v>
      </c>
      <c r="L278" t="s">
        <v>28</v>
      </c>
      <c r="M278" t="str">
        <f t="shared" si="29"/>
        <v>Private Industry</v>
      </c>
      <c r="N278" t="str">
        <f t="shared" si="30"/>
        <v>Large Order</v>
      </c>
      <c r="O278">
        <f t="shared" si="31"/>
        <v>0</v>
      </c>
      <c r="P278">
        <f t="shared" si="32"/>
        <v>0</v>
      </c>
      <c r="Q278" t="b">
        <f t="shared" si="33"/>
        <v>0</v>
      </c>
      <c r="R278">
        <f t="shared" si="34"/>
        <v>0</v>
      </c>
      <c r="S278" s="14">
        <f>_xlfn.XLOOKUP(B278,Summary!$C$10:$C$15,Summary!$B$10:$B$15)</f>
        <v>0.24</v>
      </c>
      <c r="T278">
        <f>IF(AND(H278="Yes",L278&lt;&gt;"Government"),G278*(_xlfn.XLOOKUP(B278,Summary!$C$10:$C$15,Summary!$B$10:$B$15)),0)</f>
        <v>0</v>
      </c>
    </row>
    <row r="279" spans="1:20" x14ac:dyDescent="0.25">
      <c r="A279">
        <v>73882</v>
      </c>
      <c r="B279" t="s">
        <v>32</v>
      </c>
      <c r="C279" t="s">
        <v>35</v>
      </c>
      <c r="D279" s="11">
        <v>1362</v>
      </c>
      <c r="E279">
        <v>10.56</v>
      </c>
      <c r="F279">
        <v>11</v>
      </c>
      <c r="G279">
        <f t="shared" si="28"/>
        <v>14982</v>
      </c>
      <c r="H279" t="s">
        <v>71</v>
      </c>
      <c r="J279" s="9">
        <v>45335</v>
      </c>
      <c r="K279" t="s">
        <v>40</v>
      </c>
      <c r="L279" t="s">
        <v>24</v>
      </c>
      <c r="M279" t="str">
        <f t="shared" si="29"/>
        <v>Public Sector</v>
      </c>
      <c r="N279" t="str">
        <f t="shared" si="30"/>
        <v>Small Order</v>
      </c>
      <c r="O279">
        <f t="shared" si="31"/>
        <v>3445.86</v>
      </c>
      <c r="P279">
        <f t="shared" si="32"/>
        <v>0</v>
      </c>
      <c r="Q279" t="b">
        <f t="shared" si="33"/>
        <v>0</v>
      </c>
      <c r="R279">
        <f t="shared" si="34"/>
        <v>0</v>
      </c>
      <c r="S279" s="14">
        <f>_xlfn.XLOOKUP(B279,Summary!$C$10:$C$15,Summary!$B$10:$B$15)</f>
        <v>0.23</v>
      </c>
      <c r="T279">
        <f>IF(AND(H279="Yes",L279&lt;&gt;"Government"),G279*(_xlfn.XLOOKUP(B279,Summary!$C$10:$C$15,Summary!$B$10:$B$15)),0)</f>
        <v>0</v>
      </c>
    </row>
    <row r="280" spans="1:20" x14ac:dyDescent="0.25">
      <c r="A280">
        <v>56943</v>
      </c>
      <c r="B280" t="s">
        <v>32</v>
      </c>
      <c r="C280" t="s">
        <v>25</v>
      </c>
      <c r="D280" s="11">
        <v>1884</v>
      </c>
      <c r="E280">
        <v>3.9699999999999998</v>
      </c>
      <c r="F280">
        <v>6</v>
      </c>
      <c r="G280">
        <f t="shared" si="28"/>
        <v>11304</v>
      </c>
      <c r="H280" t="s">
        <v>71</v>
      </c>
      <c r="J280" s="9">
        <v>45351</v>
      </c>
      <c r="K280" t="s">
        <v>40</v>
      </c>
      <c r="L280" t="s">
        <v>31</v>
      </c>
      <c r="M280" t="str">
        <f t="shared" si="29"/>
        <v>Private Industry</v>
      </c>
      <c r="N280" t="str">
        <f t="shared" si="30"/>
        <v>Large Order</v>
      </c>
      <c r="O280">
        <f t="shared" si="31"/>
        <v>2599.92</v>
      </c>
      <c r="P280">
        <f t="shared" si="32"/>
        <v>2599.92</v>
      </c>
      <c r="Q280" t="b">
        <f t="shared" si="33"/>
        <v>1</v>
      </c>
      <c r="R280">
        <f t="shared" si="34"/>
        <v>2599.92</v>
      </c>
      <c r="S280" s="14">
        <f>_xlfn.XLOOKUP(B280,Summary!$C$10:$C$15,Summary!$B$10:$B$15)</f>
        <v>0.23</v>
      </c>
      <c r="T280">
        <f>IF(AND(H280="Yes",L280&lt;&gt;"Government"),G280*(_xlfn.XLOOKUP(B280,Summary!$C$10:$C$15,Summary!$B$10:$B$15)),0)</f>
        <v>2599.92</v>
      </c>
    </row>
    <row r="281" spans="1:20" x14ac:dyDescent="0.25">
      <c r="A281">
        <v>49425</v>
      </c>
      <c r="B281" t="s">
        <v>32</v>
      </c>
      <c r="C281" t="s">
        <v>36</v>
      </c>
      <c r="D281" s="11">
        <v>639</v>
      </c>
      <c r="E281">
        <v>120.18</v>
      </c>
      <c r="F281">
        <v>174</v>
      </c>
      <c r="G281">
        <f t="shared" si="28"/>
        <v>111186</v>
      </c>
      <c r="H281" t="s">
        <v>72</v>
      </c>
      <c r="J281" s="9">
        <v>45690</v>
      </c>
      <c r="K281" t="s">
        <v>39</v>
      </c>
      <c r="L281" t="s">
        <v>24</v>
      </c>
      <c r="M281" t="str">
        <f t="shared" si="29"/>
        <v>Public Sector</v>
      </c>
      <c r="N281" t="str">
        <f t="shared" si="30"/>
        <v>Small Order</v>
      </c>
      <c r="O281">
        <f t="shared" si="31"/>
        <v>0</v>
      </c>
      <c r="P281">
        <f t="shared" si="32"/>
        <v>0</v>
      </c>
      <c r="Q281" t="b">
        <f t="shared" si="33"/>
        <v>0</v>
      </c>
      <c r="R281">
        <f t="shared" si="34"/>
        <v>0</v>
      </c>
      <c r="S281" s="14">
        <f>_xlfn.XLOOKUP(B281,Summary!$C$10:$C$15,Summary!$B$10:$B$15)</f>
        <v>0.23</v>
      </c>
      <c r="T281">
        <f>IF(AND(H281="Yes",L281&lt;&gt;"Government"),G281*(_xlfn.XLOOKUP(B281,Summary!$C$10:$C$15,Summary!$B$10:$B$15)),0)</f>
        <v>0</v>
      </c>
    </row>
    <row r="282" spans="1:20" x14ac:dyDescent="0.25">
      <c r="A282">
        <v>17136</v>
      </c>
      <c r="B282" t="s">
        <v>43</v>
      </c>
      <c r="C282" t="s">
        <v>25</v>
      </c>
      <c r="D282" s="11">
        <v>1117</v>
      </c>
      <c r="E282">
        <v>3.79</v>
      </c>
      <c r="F282">
        <v>6</v>
      </c>
      <c r="G282">
        <f t="shared" si="28"/>
        <v>6702</v>
      </c>
      <c r="H282" t="s">
        <v>72</v>
      </c>
      <c r="J282" s="9">
        <v>45567</v>
      </c>
      <c r="K282" t="s">
        <v>40</v>
      </c>
      <c r="L282" t="s">
        <v>24</v>
      </c>
      <c r="M282" t="str">
        <f t="shared" si="29"/>
        <v>Public Sector</v>
      </c>
      <c r="N282" t="str">
        <f t="shared" si="30"/>
        <v>Small Order</v>
      </c>
      <c r="O282">
        <f t="shared" si="31"/>
        <v>0</v>
      </c>
      <c r="P282">
        <f t="shared" si="32"/>
        <v>0</v>
      </c>
      <c r="Q282" t="b">
        <f t="shared" si="33"/>
        <v>0</v>
      </c>
      <c r="R282">
        <f t="shared" si="34"/>
        <v>0</v>
      </c>
      <c r="S282" s="14">
        <f>_xlfn.XLOOKUP(B282,Summary!$C$10:$C$15,Summary!$B$10:$B$15)</f>
        <v>0.21</v>
      </c>
      <c r="T282">
        <f>IF(AND(H282="Yes",L282&lt;&gt;"Government"),G282*(_xlfn.XLOOKUP(B282,Summary!$C$10:$C$15,Summary!$B$10:$B$15)),0)</f>
        <v>0</v>
      </c>
    </row>
    <row r="283" spans="1:20" x14ac:dyDescent="0.25">
      <c r="A283">
        <v>13656</v>
      </c>
      <c r="B283" t="s">
        <v>32</v>
      </c>
      <c r="C283" t="s">
        <v>35</v>
      </c>
      <c r="D283" s="11">
        <v>1570</v>
      </c>
      <c r="E283">
        <v>10.87</v>
      </c>
      <c r="F283">
        <v>16</v>
      </c>
      <c r="G283">
        <f t="shared" si="28"/>
        <v>25120</v>
      </c>
      <c r="H283" t="s">
        <v>71</v>
      </c>
      <c r="J283" s="9">
        <v>45683</v>
      </c>
      <c r="K283" t="s">
        <v>39</v>
      </c>
      <c r="L283" t="s">
        <v>33</v>
      </c>
      <c r="M283" t="str">
        <f t="shared" si="29"/>
        <v>Private Industry</v>
      </c>
      <c r="N283" t="str">
        <f t="shared" si="30"/>
        <v>Large Order</v>
      </c>
      <c r="O283">
        <f t="shared" si="31"/>
        <v>5777.6</v>
      </c>
      <c r="P283">
        <f t="shared" si="32"/>
        <v>5777.6</v>
      </c>
      <c r="Q283" t="b">
        <f t="shared" si="33"/>
        <v>1</v>
      </c>
      <c r="R283">
        <f t="shared" si="34"/>
        <v>5777.6</v>
      </c>
      <c r="S283" s="14">
        <f>_xlfn.XLOOKUP(B283,Summary!$C$10:$C$15,Summary!$B$10:$B$15)</f>
        <v>0.23</v>
      </c>
      <c r="T283">
        <f>IF(AND(H283="Yes",L283&lt;&gt;"Government"),G283*(_xlfn.XLOOKUP(B283,Summary!$C$10:$C$15,Summary!$B$10:$B$15)),0)</f>
        <v>5777.6</v>
      </c>
    </row>
    <row r="284" spans="1:20" x14ac:dyDescent="0.25">
      <c r="A284">
        <v>39623</v>
      </c>
      <c r="B284" t="s">
        <v>29</v>
      </c>
      <c r="C284" t="s">
        <v>30</v>
      </c>
      <c r="D284" s="11">
        <v>1901</v>
      </c>
      <c r="E284">
        <v>5.27</v>
      </c>
      <c r="F284">
        <v>7</v>
      </c>
      <c r="G284">
        <f t="shared" si="28"/>
        <v>13307</v>
      </c>
      <c r="H284" t="s">
        <v>72</v>
      </c>
      <c r="J284" s="9">
        <v>45415</v>
      </c>
      <c r="K284" t="s">
        <v>39</v>
      </c>
      <c r="L284" t="s">
        <v>31</v>
      </c>
      <c r="M284" t="str">
        <f t="shared" si="29"/>
        <v>Private Industry</v>
      </c>
      <c r="N284" t="str">
        <f t="shared" si="30"/>
        <v>Large Order</v>
      </c>
      <c r="O284">
        <f t="shared" si="31"/>
        <v>0</v>
      </c>
      <c r="P284">
        <f t="shared" si="32"/>
        <v>0</v>
      </c>
      <c r="Q284" t="b">
        <f t="shared" si="33"/>
        <v>0</v>
      </c>
      <c r="R284">
        <f t="shared" si="34"/>
        <v>0</v>
      </c>
      <c r="S284" s="14">
        <f>_xlfn.XLOOKUP(B284,Summary!$C$10:$C$15,Summary!$B$10:$B$15)</f>
        <v>0.22</v>
      </c>
      <c r="T284">
        <f>IF(AND(H284="Yes",L284&lt;&gt;"Government"),G284*(_xlfn.XLOOKUP(B284,Summary!$C$10:$C$15,Summary!$B$10:$B$15)),0)</f>
        <v>0</v>
      </c>
    </row>
    <row r="285" spans="1:20" x14ac:dyDescent="0.25">
      <c r="A285">
        <v>50960</v>
      </c>
      <c r="B285" t="s">
        <v>44</v>
      </c>
      <c r="C285" t="s">
        <v>30</v>
      </c>
      <c r="D285" s="11">
        <v>2300</v>
      </c>
      <c r="E285">
        <v>6</v>
      </c>
      <c r="F285">
        <v>9</v>
      </c>
      <c r="G285">
        <f t="shared" si="28"/>
        <v>20700</v>
      </c>
      <c r="H285" t="s">
        <v>71</v>
      </c>
      <c r="J285" s="9">
        <v>45502</v>
      </c>
      <c r="K285" t="s">
        <v>41</v>
      </c>
      <c r="L285" t="s">
        <v>28</v>
      </c>
      <c r="M285" t="str">
        <f t="shared" si="29"/>
        <v>Private Industry</v>
      </c>
      <c r="N285" t="str">
        <f t="shared" si="30"/>
        <v>Large Order</v>
      </c>
      <c r="O285">
        <f t="shared" si="31"/>
        <v>4761</v>
      </c>
      <c r="P285">
        <f t="shared" si="32"/>
        <v>4761</v>
      </c>
      <c r="Q285" t="b">
        <f t="shared" si="33"/>
        <v>1</v>
      </c>
      <c r="R285">
        <f t="shared" si="34"/>
        <v>4761</v>
      </c>
      <c r="S285" s="14">
        <f>_xlfn.XLOOKUP(B285,Summary!$C$10:$C$15,Summary!$B$10:$B$15)</f>
        <v>0.2</v>
      </c>
      <c r="T285">
        <f>IF(AND(H285="Yes",L285&lt;&gt;"Government"),G285*(_xlfn.XLOOKUP(B285,Summary!$C$10:$C$15,Summary!$B$10:$B$15)),0)</f>
        <v>4140</v>
      </c>
    </row>
    <row r="286" spans="1:20" x14ac:dyDescent="0.25">
      <c r="A286">
        <v>65830</v>
      </c>
      <c r="B286" t="s">
        <v>27</v>
      </c>
      <c r="C286" t="s">
        <v>30</v>
      </c>
      <c r="D286" s="11">
        <v>334</v>
      </c>
      <c r="E286">
        <v>5.89</v>
      </c>
      <c r="F286">
        <v>9</v>
      </c>
      <c r="G286">
        <f t="shared" si="28"/>
        <v>3006</v>
      </c>
      <c r="H286" t="s">
        <v>71</v>
      </c>
      <c r="J286" s="9">
        <v>45739</v>
      </c>
      <c r="K286" t="s">
        <v>40</v>
      </c>
      <c r="L286" t="s">
        <v>34</v>
      </c>
      <c r="M286" t="str">
        <f t="shared" si="29"/>
        <v>Private Industry</v>
      </c>
      <c r="N286" t="str">
        <f t="shared" si="30"/>
        <v>Small Order</v>
      </c>
      <c r="O286">
        <f t="shared" si="31"/>
        <v>691.38</v>
      </c>
      <c r="P286">
        <f t="shared" si="32"/>
        <v>691.38</v>
      </c>
      <c r="Q286" t="b">
        <f t="shared" si="33"/>
        <v>1</v>
      </c>
      <c r="R286">
        <f t="shared" si="34"/>
        <v>691.38</v>
      </c>
      <c r="S286" s="14">
        <f>_xlfn.XLOOKUP(B286,Summary!$C$10:$C$15,Summary!$B$10:$B$15)</f>
        <v>0.19</v>
      </c>
      <c r="T286">
        <f>IF(AND(H286="Yes",L286&lt;&gt;"Government"),G286*(_xlfn.XLOOKUP(B286,Summary!$C$10:$C$15,Summary!$B$10:$B$15)),0)</f>
        <v>571.14</v>
      </c>
    </row>
    <row r="287" spans="1:20" x14ac:dyDescent="0.25">
      <c r="A287">
        <v>69158</v>
      </c>
      <c r="B287" t="s">
        <v>44</v>
      </c>
      <c r="C287" t="s">
        <v>38</v>
      </c>
      <c r="D287" s="11">
        <v>3520</v>
      </c>
      <c r="E287">
        <v>260.08</v>
      </c>
      <c r="F287">
        <v>336</v>
      </c>
      <c r="G287">
        <f t="shared" si="28"/>
        <v>1182720</v>
      </c>
      <c r="H287" t="s">
        <v>72</v>
      </c>
      <c r="J287" s="9">
        <v>45311</v>
      </c>
      <c r="K287" t="s">
        <v>41</v>
      </c>
      <c r="L287" t="s">
        <v>31</v>
      </c>
      <c r="M287" t="str">
        <f t="shared" si="29"/>
        <v>Private Industry</v>
      </c>
      <c r="N287" t="str">
        <f t="shared" si="30"/>
        <v>Large Order</v>
      </c>
      <c r="O287">
        <f t="shared" si="31"/>
        <v>0</v>
      </c>
      <c r="P287">
        <f t="shared" si="32"/>
        <v>0</v>
      </c>
      <c r="Q287" t="b">
        <f t="shared" si="33"/>
        <v>0</v>
      </c>
      <c r="R287">
        <f t="shared" si="34"/>
        <v>0</v>
      </c>
      <c r="S287" s="14">
        <f>_xlfn.XLOOKUP(B287,Summary!$C$10:$C$15,Summary!$B$10:$B$15)</f>
        <v>0.2</v>
      </c>
      <c r="T287">
        <f>IF(AND(H287="Yes",L287&lt;&gt;"Government"),G287*(_xlfn.XLOOKUP(B287,Summary!$C$10:$C$15,Summary!$B$10:$B$15)),0)</f>
        <v>0</v>
      </c>
    </row>
    <row r="288" spans="1:20" x14ac:dyDescent="0.25">
      <c r="A288">
        <v>68671</v>
      </c>
      <c r="B288" t="s">
        <v>27</v>
      </c>
      <c r="C288" t="s">
        <v>35</v>
      </c>
      <c r="D288" s="11">
        <v>2992</v>
      </c>
      <c r="E288">
        <v>10.99</v>
      </c>
      <c r="F288">
        <v>16</v>
      </c>
      <c r="G288">
        <f t="shared" si="28"/>
        <v>47872</v>
      </c>
      <c r="H288" t="s">
        <v>71</v>
      </c>
      <c r="J288" s="9">
        <v>45172</v>
      </c>
      <c r="K288" t="s">
        <v>41</v>
      </c>
      <c r="L288" t="s">
        <v>24</v>
      </c>
      <c r="M288" t="str">
        <f t="shared" si="29"/>
        <v>Public Sector</v>
      </c>
      <c r="N288" t="str">
        <f t="shared" si="30"/>
        <v>Large Order</v>
      </c>
      <c r="O288">
        <f t="shared" si="31"/>
        <v>11010.560000000001</v>
      </c>
      <c r="P288">
        <f t="shared" si="32"/>
        <v>0</v>
      </c>
      <c r="Q288" t="b">
        <f t="shared" si="33"/>
        <v>0</v>
      </c>
      <c r="R288">
        <f t="shared" si="34"/>
        <v>0</v>
      </c>
      <c r="S288" s="14">
        <f>_xlfn.XLOOKUP(B288,Summary!$C$10:$C$15,Summary!$B$10:$B$15)</f>
        <v>0.19</v>
      </c>
      <c r="T288">
        <f>IF(AND(H288="Yes",L288&lt;&gt;"Government"),G288*(_xlfn.XLOOKUP(B288,Summary!$C$10:$C$15,Summary!$B$10:$B$15)),0)</f>
        <v>0</v>
      </c>
    </row>
    <row r="289" spans="1:20" x14ac:dyDescent="0.25">
      <c r="A289">
        <v>10824</v>
      </c>
      <c r="B289" t="s">
        <v>32</v>
      </c>
      <c r="C289" t="s">
        <v>30</v>
      </c>
      <c r="D289" s="11">
        <v>1138</v>
      </c>
      <c r="E289">
        <v>5.1100000000000003</v>
      </c>
      <c r="F289">
        <v>7</v>
      </c>
      <c r="G289">
        <f t="shared" si="28"/>
        <v>7966</v>
      </c>
      <c r="H289" t="s">
        <v>72</v>
      </c>
      <c r="J289" s="9">
        <v>45221</v>
      </c>
      <c r="K289" t="s">
        <v>39</v>
      </c>
      <c r="L289" t="s">
        <v>33</v>
      </c>
      <c r="M289" t="str">
        <f t="shared" si="29"/>
        <v>Private Industry</v>
      </c>
      <c r="N289" t="str">
        <f t="shared" si="30"/>
        <v>Small Order</v>
      </c>
      <c r="O289">
        <f t="shared" si="31"/>
        <v>0</v>
      </c>
      <c r="P289">
        <f t="shared" si="32"/>
        <v>0</v>
      </c>
      <c r="Q289" t="b">
        <f t="shared" si="33"/>
        <v>0</v>
      </c>
      <c r="R289">
        <f t="shared" si="34"/>
        <v>0</v>
      </c>
      <c r="S289" s="14">
        <f>_xlfn.XLOOKUP(B289,Summary!$C$10:$C$15,Summary!$B$10:$B$15)</f>
        <v>0.23</v>
      </c>
      <c r="T289">
        <f>IF(AND(H289="Yes",L289&lt;&gt;"Government"),G289*(_xlfn.XLOOKUP(B289,Summary!$C$10:$C$15,Summary!$B$10:$B$15)),0)</f>
        <v>0</v>
      </c>
    </row>
    <row r="290" spans="1:20" x14ac:dyDescent="0.25">
      <c r="A290">
        <v>69219</v>
      </c>
      <c r="B290" t="s">
        <v>27</v>
      </c>
      <c r="C290" t="s">
        <v>25</v>
      </c>
      <c r="D290" s="11">
        <v>280</v>
      </c>
      <c r="E290">
        <v>3.09</v>
      </c>
      <c r="F290">
        <v>5</v>
      </c>
      <c r="G290">
        <f t="shared" si="28"/>
        <v>1400</v>
      </c>
      <c r="H290" t="s">
        <v>72</v>
      </c>
      <c r="J290" s="9">
        <v>45614</v>
      </c>
      <c r="K290" t="s">
        <v>41</v>
      </c>
      <c r="L290" t="s">
        <v>24</v>
      </c>
      <c r="M290" t="str">
        <f t="shared" si="29"/>
        <v>Public Sector</v>
      </c>
      <c r="N290" t="str">
        <f t="shared" si="30"/>
        <v>Small Order</v>
      </c>
      <c r="O290">
        <f t="shared" si="31"/>
        <v>0</v>
      </c>
      <c r="P290">
        <f t="shared" si="32"/>
        <v>0</v>
      </c>
      <c r="Q290" t="b">
        <f t="shared" si="33"/>
        <v>0</v>
      </c>
      <c r="R290">
        <f t="shared" si="34"/>
        <v>0</v>
      </c>
      <c r="S290" s="14">
        <f>_xlfn.XLOOKUP(B290,Summary!$C$10:$C$15,Summary!$B$10:$B$15)</f>
        <v>0.19</v>
      </c>
      <c r="T290">
        <f>IF(AND(H290="Yes",L290&lt;&gt;"Government"),G290*(_xlfn.XLOOKUP(B290,Summary!$C$10:$C$15,Summary!$B$10:$B$15)),0)</f>
        <v>0</v>
      </c>
    </row>
    <row r="291" spans="1:20" x14ac:dyDescent="0.25">
      <c r="A291">
        <v>94160</v>
      </c>
      <c r="B291" t="s">
        <v>42</v>
      </c>
      <c r="C291" t="s">
        <v>35</v>
      </c>
      <c r="D291" s="11">
        <v>571</v>
      </c>
      <c r="E291">
        <v>10.67</v>
      </c>
      <c r="F291">
        <v>13</v>
      </c>
      <c r="G291">
        <f t="shared" si="28"/>
        <v>7423</v>
      </c>
      <c r="H291" t="s">
        <v>71</v>
      </c>
      <c r="J291" s="9">
        <v>45792</v>
      </c>
      <c r="K291" t="s">
        <v>41</v>
      </c>
      <c r="L291" t="s">
        <v>31</v>
      </c>
      <c r="M291" t="str">
        <f t="shared" si="29"/>
        <v>Private Industry</v>
      </c>
      <c r="N291" t="str">
        <f t="shared" si="30"/>
        <v>Small Order</v>
      </c>
      <c r="O291">
        <f t="shared" si="31"/>
        <v>1707.29</v>
      </c>
      <c r="P291">
        <f t="shared" si="32"/>
        <v>1707.29</v>
      </c>
      <c r="Q291" t="b">
        <f t="shared" si="33"/>
        <v>1</v>
      </c>
      <c r="R291">
        <f t="shared" si="34"/>
        <v>1707.29</v>
      </c>
      <c r="S291" s="14">
        <f>_xlfn.XLOOKUP(B291,Summary!$C$10:$C$15,Summary!$B$10:$B$15)</f>
        <v>0.24</v>
      </c>
      <c r="T291">
        <f>IF(AND(H291="Yes",L291&lt;&gt;"Government"),G291*(_xlfn.XLOOKUP(B291,Summary!$C$10:$C$15,Summary!$B$10:$B$15)),0)</f>
        <v>1781.52</v>
      </c>
    </row>
    <row r="292" spans="1:20" x14ac:dyDescent="0.25">
      <c r="A292">
        <v>24486</v>
      </c>
      <c r="B292" t="s">
        <v>32</v>
      </c>
      <c r="C292" t="s">
        <v>35</v>
      </c>
      <c r="D292" s="11">
        <v>1177</v>
      </c>
      <c r="E292">
        <v>10.44</v>
      </c>
      <c r="F292">
        <v>16</v>
      </c>
      <c r="G292">
        <f t="shared" si="28"/>
        <v>18832</v>
      </c>
      <c r="H292" t="s">
        <v>72</v>
      </c>
      <c r="J292" s="9">
        <v>45254</v>
      </c>
      <c r="K292" t="s">
        <v>41</v>
      </c>
      <c r="L292" t="s">
        <v>24</v>
      </c>
      <c r="M292" t="str">
        <f t="shared" si="29"/>
        <v>Public Sector</v>
      </c>
      <c r="N292" t="str">
        <f t="shared" si="30"/>
        <v>Small Order</v>
      </c>
      <c r="O292">
        <f t="shared" si="31"/>
        <v>0</v>
      </c>
      <c r="P292">
        <f t="shared" si="32"/>
        <v>0</v>
      </c>
      <c r="Q292" t="b">
        <f t="shared" si="33"/>
        <v>0</v>
      </c>
      <c r="R292">
        <f t="shared" si="34"/>
        <v>0</v>
      </c>
      <c r="S292" s="14">
        <f>_xlfn.XLOOKUP(B292,Summary!$C$10:$C$15,Summary!$B$10:$B$15)</f>
        <v>0.23</v>
      </c>
      <c r="T292">
        <f>IF(AND(H292="Yes",L292&lt;&gt;"Government"),G292*(_xlfn.XLOOKUP(B292,Summary!$C$10:$C$15,Summary!$B$10:$B$15)),0)</f>
        <v>0</v>
      </c>
    </row>
    <row r="293" spans="1:20" x14ac:dyDescent="0.25">
      <c r="A293">
        <v>87323</v>
      </c>
      <c r="B293" t="s">
        <v>44</v>
      </c>
      <c r="C293" t="s">
        <v>36</v>
      </c>
      <c r="D293" s="11">
        <v>1135</v>
      </c>
      <c r="E293">
        <v>120.57</v>
      </c>
      <c r="F293">
        <v>174</v>
      </c>
      <c r="G293">
        <f t="shared" si="28"/>
        <v>197490</v>
      </c>
      <c r="H293" t="s">
        <v>71</v>
      </c>
      <c r="J293" s="9">
        <v>45703</v>
      </c>
      <c r="K293" t="s">
        <v>40</v>
      </c>
      <c r="L293" t="s">
        <v>24</v>
      </c>
      <c r="M293" t="str">
        <f t="shared" si="29"/>
        <v>Public Sector</v>
      </c>
      <c r="N293" t="str">
        <f t="shared" si="30"/>
        <v>Small Order</v>
      </c>
      <c r="O293">
        <f t="shared" si="31"/>
        <v>45422.700000000004</v>
      </c>
      <c r="P293">
        <f t="shared" si="32"/>
        <v>0</v>
      </c>
      <c r="Q293" t="b">
        <f t="shared" si="33"/>
        <v>0</v>
      </c>
      <c r="R293">
        <f t="shared" si="34"/>
        <v>0</v>
      </c>
      <c r="S293" s="14">
        <f>_xlfn.XLOOKUP(B293,Summary!$C$10:$C$15,Summary!$B$10:$B$15)</f>
        <v>0.2</v>
      </c>
      <c r="T293">
        <f>IF(AND(H293="Yes",L293&lt;&gt;"Government"),G293*(_xlfn.XLOOKUP(B293,Summary!$C$10:$C$15,Summary!$B$10:$B$15)),0)</f>
        <v>0</v>
      </c>
    </row>
    <row r="294" spans="1:20" x14ac:dyDescent="0.25">
      <c r="A294">
        <v>95518</v>
      </c>
      <c r="B294" t="s">
        <v>32</v>
      </c>
      <c r="C294" t="s">
        <v>35</v>
      </c>
      <c r="D294" s="11">
        <v>1153</v>
      </c>
      <c r="E294">
        <v>10.67</v>
      </c>
      <c r="F294">
        <v>12</v>
      </c>
      <c r="G294">
        <f t="shared" si="28"/>
        <v>13836</v>
      </c>
      <c r="H294" t="s">
        <v>71</v>
      </c>
      <c r="J294" s="9">
        <v>45438</v>
      </c>
      <c r="K294" t="s">
        <v>40</v>
      </c>
      <c r="L294" t="s">
        <v>28</v>
      </c>
      <c r="M294" t="str">
        <f t="shared" si="29"/>
        <v>Private Industry</v>
      </c>
      <c r="N294" t="str">
        <f t="shared" si="30"/>
        <v>Small Order</v>
      </c>
      <c r="O294">
        <f t="shared" si="31"/>
        <v>3182.28</v>
      </c>
      <c r="P294">
        <f t="shared" si="32"/>
        <v>3182.28</v>
      </c>
      <c r="Q294" t="b">
        <f t="shared" si="33"/>
        <v>1</v>
      </c>
      <c r="R294">
        <f t="shared" si="34"/>
        <v>3182.28</v>
      </c>
      <c r="S294" s="14">
        <f>_xlfn.XLOOKUP(B294,Summary!$C$10:$C$15,Summary!$B$10:$B$15)</f>
        <v>0.23</v>
      </c>
      <c r="T294">
        <f>IF(AND(H294="Yes",L294&lt;&gt;"Government"),G294*(_xlfn.XLOOKUP(B294,Summary!$C$10:$C$15,Summary!$B$10:$B$15)),0)</f>
        <v>3182.28</v>
      </c>
    </row>
    <row r="295" spans="1:20" x14ac:dyDescent="0.25">
      <c r="A295">
        <v>78500</v>
      </c>
      <c r="B295" t="s">
        <v>29</v>
      </c>
      <c r="C295" t="s">
        <v>37</v>
      </c>
      <c r="D295" s="11">
        <v>2177</v>
      </c>
      <c r="E295">
        <v>250.11</v>
      </c>
      <c r="F295">
        <v>308</v>
      </c>
      <c r="G295">
        <f t="shared" si="28"/>
        <v>670516</v>
      </c>
      <c r="H295" t="s">
        <v>72</v>
      </c>
      <c r="J295" s="9">
        <v>45790</v>
      </c>
      <c r="K295" t="s">
        <v>39</v>
      </c>
      <c r="L295" t="s">
        <v>24</v>
      </c>
      <c r="M295" t="str">
        <f t="shared" si="29"/>
        <v>Public Sector</v>
      </c>
      <c r="N295" t="str">
        <f t="shared" si="30"/>
        <v>Large Order</v>
      </c>
      <c r="O295">
        <f t="shared" si="31"/>
        <v>0</v>
      </c>
      <c r="P295">
        <f t="shared" si="32"/>
        <v>0</v>
      </c>
      <c r="Q295" t="b">
        <f t="shared" si="33"/>
        <v>0</v>
      </c>
      <c r="R295">
        <f t="shared" si="34"/>
        <v>0</v>
      </c>
      <c r="S295" s="14">
        <f>_xlfn.XLOOKUP(B295,Summary!$C$10:$C$15,Summary!$B$10:$B$15)</f>
        <v>0.22</v>
      </c>
      <c r="T295">
        <f>IF(AND(H295="Yes",L295&lt;&gt;"Government"),G295*(_xlfn.XLOOKUP(B295,Summary!$C$10:$C$15,Summary!$B$10:$B$15)),0)</f>
        <v>0</v>
      </c>
    </row>
    <row r="296" spans="1:20" x14ac:dyDescent="0.25">
      <c r="A296">
        <v>19793</v>
      </c>
      <c r="B296" t="s">
        <v>29</v>
      </c>
      <c r="C296" t="s">
        <v>35</v>
      </c>
      <c r="D296" s="11">
        <v>1031</v>
      </c>
      <c r="E296">
        <v>10.050000000000001</v>
      </c>
      <c r="F296">
        <v>12</v>
      </c>
      <c r="G296">
        <f t="shared" si="28"/>
        <v>12372</v>
      </c>
      <c r="H296" t="s">
        <v>72</v>
      </c>
      <c r="J296" s="9">
        <v>45302</v>
      </c>
      <c r="K296" t="s">
        <v>40</v>
      </c>
      <c r="L296" t="s">
        <v>24</v>
      </c>
      <c r="M296" t="str">
        <f t="shared" si="29"/>
        <v>Public Sector</v>
      </c>
      <c r="N296" t="str">
        <f t="shared" si="30"/>
        <v>Small Order</v>
      </c>
      <c r="O296">
        <f t="shared" si="31"/>
        <v>0</v>
      </c>
      <c r="P296">
        <f t="shared" si="32"/>
        <v>0</v>
      </c>
      <c r="Q296" t="b">
        <f t="shared" si="33"/>
        <v>0</v>
      </c>
      <c r="R296">
        <f t="shared" si="34"/>
        <v>0</v>
      </c>
      <c r="S296" s="14">
        <f>_xlfn.XLOOKUP(B296,Summary!$C$10:$C$15,Summary!$B$10:$B$15)</f>
        <v>0.22</v>
      </c>
      <c r="T296">
        <f>IF(AND(H296="Yes",L296&lt;&gt;"Government"),G296*(_xlfn.XLOOKUP(B296,Summary!$C$10:$C$15,Summary!$B$10:$B$15)),0)</f>
        <v>0</v>
      </c>
    </row>
    <row r="297" spans="1:20" x14ac:dyDescent="0.25">
      <c r="A297">
        <v>67365</v>
      </c>
      <c r="B297" t="s">
        <v>29</v>
      </c>
      <c r="C297" t="s">
        <v>36</v>
      </c>
      <c r="D297" s="11">
        <v>1976</v>
      </c>
      <c r="E297">
        <v>120.95</v>
      </c>
      <c r="F297">
        <v>141</v>
      </c>
      <c r="G297">
        <f t="shared" si="28"/>
        <v>278616</v>
      </c>
      <c r="H297" t="s">
        <v>72</v>
      </c>
      <c r="J297" s="9">
        <v>45396</v>
      </c>
      <c r="K297" t="s">
        <v>40</v>
      </c>
      <c r="L297" t="s">
        <v>24</v>
      </c>
      <c r="M297" t="str">
        <f t="shared" si="29"/>
        <v>Public Sector</v>
      </c>
      <c r="N297" t="str">
        <f t="shared" si="30"/>
        <v>Large Order</v>
      </c>
      <c r="O297">
        <f t="shared" si="31"/>
        <v>0</v>
      </c>
      <c r="P297">
        <f t="shared" si="32"/>
        <v>0</v>
      </c>
      <c r="Q297" t="b">
        <f t="shared" si="33"/>
        <v>0</v>
      </c>
      <c r="R297">
        <f t="shared" si="34"/>
        <v>0</v>
      </c>
      <c r="S297" s="14">
        <f>_xlfn.XLOOKUP(B297,Summary!$C$10:$C$15,Summary!$B$10:$B$15)</f>
        <v>0.22</v>
      </c>
      <c r="T297">
        <f>IF(AND(H297="Yes",L297&lt;&gt;"Government"),G297*(_xlfn.XLOOKUP(B297,Summary!$C$10:$C$15,Summary!$B$10:$B$15)),0)</f>
        <v>0</v>
      </c>
    </row>
    <row r="298" spans="1:20" x14ac:dyDescent="0.25">
      <c r="A298">
        <v>21831</v>
      </c>
      <c r="B298" t="s">
        <v>43</v>
      </c>
      <c r="C298" t="s">
        <v>36</v>
      </c>
      <c r="D298" s="11">
        <v>2821</v>
      </c>
      <c r="E298">
        <v>120.82</v>
      </c>
      <c r="F298">
        <v>149</v>
      </c>
      <c r="G298">
        <f t="shared" si="28"/>
        <v>420329</v>
      </c>
      <c r="H298" t="s">
        <v>71</v>
      </c>
      <c r="J298" s="9">
        <v>45079</v>
      </c>
      <c r="K298" t="s">
        <v>26</v>
      </c>
      <c r="L298" t="s">
        <v>33</v>
      </c>
      <c r="M298" t="str">
        <f t="shared" si="29"/>
        <v>Private Industry</v>
      </c>
      <c r="N298" t="str">
        <f t="shared" si="30"/>
        <v>Large Order</v>
      </c>
      <c r="O298">
        <f t="shared" si="31"/>
        <v>96675.67</v>
      </c>
      <c r="P298">
        <f t="shared" si="32"/>
        <v>96675.67</v>
      </c>
      <c r="Q298" t="b">
        <f t="shared" si="33"/>
        <v>1</v>
      </c>
      <c r="R298">
        <f t="shared" si="34"/>
        <v>96675.67</v>
      </c>
      <c r="S298" s="14">
        <f>_xlfn.XLOOKUP(B298,Summary!$C$10:$C$15,Summary!$B$10:$B$15)</f>
        <v>0.21</v>
      </c>
      <c r="T298">
        <f>IF(AND(H298="Yes",L298&lt;&gt;"Government"),G298*(_xlfn.XLOOKUP(B298,Summary!$C$10:$C$15,Summary!$B$10:$B$15)),0)</f>
        <v>88269.09</v>
      </c>
    </row>
    <row r="299" spans="1:20" x14ac:dyDescent="0.25">
      <c r="A299">
        <v>70012</v>
      </c>
      <c r="B299" t="s">
        <v>44</v>
      </c>
      <c r="C299" t="s">
        <v>25</v>
      </c>
      <c r="D299" s="11">
        <v>2852</v>
      </c>
      <c r="E299">
        <v>3.8</v>
      </c>
      <c r="F299">
        <v>6</v>
      </c>
      <c r="G299">
        <f t="shared" si="28"/>
        <v>17112</v>
      </c>
      <c r="H299" t="s">
        <v>71</v>
      </c>
      <c r="J299" s="9">
        <v>45605</v>
      </c>
      <c r="K299" t="s">
        <v>39</v>
      </c>
      <c r="L299" t="s">
        <v>24</v>
      </c>
      <c r="M299" t="str">
        <f t="shared" si="29"/>
        <v>Public Sector</v>
      </c>
      <c r="N299" t="str">
        <f t="shared" si="30"/>
        <v>Large Order</v>
      </c>
      <c r="O299">
        <f t="shared" si="31"/>
        <v>3935.76</v>
      </c>
      <c r="P299">
        <f t="shared" si="32"/>
        <v>0</v>
      </c>
      <c r="Q299" t="b">
        <f t="shared" si="33"/>
        <v>0</v>
      </c>
      <c r="R299">
        <f t="shared" si="34"/>
        <v>0</v>
      </c>
      <c r="S299" s="14">
        <f>_xlfn.XLOOKUP(B299,Summary!$C$10:$C$15,Summary!$B$10:$B$15)</f>
        <v>0.2</v>
      </c>
      <c r="T299">
        <f>IF(AND(H299="Yes",L299&lt;&gt;"Government"),G299*(_xlfn.XLOOKUP(B299,Summary!$C$10:$C$15,Summary!$B$10:$B$15)),0)</f>
        <v>0</v>
      </c>
    </row>
    <row r="300" spans="1:20" x14ac:dyDescent="0.25">
      <c r="A300">
        <v>50485</v>
      </c>
      <c r="B300" t="s">
        <v>43</v>
      </c>
      <c r="C300" t="s">
        <v>38</v>
      </c>
      <c r="D300" s="11">
        <v>2914</v>
      </c>
      <c r="E300">
        <v>260.27999999999997</v>
      </c>
      <c r="F300">
        <v>321</v>
      </c>
      <c r="G300">
        <f t="shared" si="28"/>
        <v>935394</v>
      </c>
      <c r="H300" t="s">
        <v>72</v>
      </c>
      <c r="J300" s="9">
        <v>45449</v>
      </c>
      <c r="K300" t="s">
        <v>41</v>
      </c>
      <c r="L300" t="s">
        <v>31</v>
      </c>
      <c r="M300" t="str">
        <f t="shared" si="29"/>
        <v>Private Industry</v>
      </c>
      <c r="N300" t="str">
        <f t="shared" si="30"/>
        <v>Large Order</v>
      </c>
      <c r="O300">
        <f t="shared" si="31"/>
        <v>0</v>
      </c>
      <c r="P300">
        <f t="shared" si="32"/>
        <v>0</v>
      </c>
      <c r="Q300" t="b">
        <f t="shared" si="33"/>
        <v>0</v>
      </c>
      <c r="R300">
        <f t="shared" si="34"/>
        <v>0</v>
      </c>
      <c r="S300" s="14">
        <f>_xlfn.XLOOKUP(B300,Summary!$C$10:$C$15,Summary!$B$10:$B$15)</f>
        <v>0.21</v>
      </c>
      <c r="T300">
        <f>IF(AND(H300="Yes",L300&lt;&gt;"Government"),G300*(_xlfn.XLOOKUP(B300,Summary!$C$10:$C$15,Summary!$B$10:$B$15)),0)</f>
        <v>0</v>
      </c>
    </row>
    <row r="301" spans="1:20" x14ac:dyDescent="0.25">
      <c r="A301">
        <v>19019</v>
      </c>
      <c r="B301" t="s">
        <v>27</v>
      </c>
      <c r="C301" t="s">
        <v>37</v>
      </c>
      <c r="D301" s="11">
        <v>1870</v>
      </c>
      <c r="E301">
        <v>251</v>
      </c>
      <c r="F301">
        <v>309</v>
      </c>
      <c r="G301">
        <f t="shared" si="28"/>
        <v>577830</v>
      </c>
      <c r="H301" t="s">
        <v>72</v>
      </c>
      <c r="J301" s="9">
        <v>45771</v>
      </c>
      <c r="K301" t="s">
        <v>41</v>
      </c>
      <c r="L301" t="s">
        <v>24</v>
      </c>
      <c r="M301" t="str">
        <f t="shared" si="29"/>
        <v>Public Sector</v>
      </c>
      <c r="N301" t="str">
        <f t="shared" si="30"/>
        <v>Large Order</v>
      </c>
      <c r="O301">
        <f t="shared" si="31"/>
        <v>0</v>
      </c>
      <c r="P301">
        <f t="shared" si="32"/>
        <v>0</v>
      </c>
      <c r="Q301" t="b">
        <f t="shared" si="33"/>
        <v>0</v>
      </c>
      <c r="R301">
        <f t="shared" si="34"/>
        <v>0</v>
      </c>
      <c r="S301" s="14">
        <f>_xlfn.XLOOKUP(B301,Summary!$C$10:$C$15,Summary!$B$10:$B$15)</f>
        <v>0.19</v>
      </c>
      <c r="T301">
        <f>IF(AND(H301="Yes",L301&lt;&gt;"Government"),G301*(_xlfn.XLOOKUP(B301,Summary!$C$10:$C$15,Summary!$B$10:$B$15)),0)</f>
        <v>0</v>
      </c>
    </row>
    <row r="302" spans="1:20" x14ac:dyDescent="0.25">
      <c r="A302">
        <v>59693</v>
      </c>
      <c r="B302" t="s">
        <v>32</v>
      </c>
      <c r="C302" t="s">
        <v>36</v>
      </c>
      <c r="D302" s="11">
        <v>2628</v>
      </c>
      <c r="E302">
        <v>120.36</v>
      </c>
      <c r="F302">
        <v>123</v>
      </c>
      <c r="G302">
        <f t="shared" si="28"/>
        <v>323244</v>
      </c>
      <c r="H302" t="s">
        <v>72</v>
      </c>
      <c r="J302" s="9">
        <v>45598</v>
      </c>
      <c r="K302" t="s">
        <v>40</v>
      </c>
      <c r="L302" t="s">
        <v>28</v>
      </c>
      <c r="M302" t="str">
        <f t="shared" si="29"/>
        <v>Private Industry</v>
      </c>
      <c r="N302" t="str">
        <f t="shared" si="30"/>
        <v>Large Order</v>
      </c>
      <c r="O302">
        <f t="shared" si="31"/>
        <v>0</v>
      </c>
      <c r="P302">
        <f t="shared" si="32"/>
        <v>0</v>
      </c>
      <c r="Q302" t="b">
        <f t="shared" si="33"/>
        <v>0</v>
      </c>
      <c r="R302">
        <f t="shared" si="34"/>
        <v>0</v>
      </c>
      <c r="S302" s="14">
        <f>_xlfn.XLOOKUP(B302,Summary!$C$10:$C$15,Summary!$B$10:$B$15)</f>
        <v>0.23</v>
      </c>
      <c r="T302">
        <f>IF(AND(H302="Yes",L302&lt;&gt;"Government"),G302*(_xlfn.XLOOKUP(B302,Summary!$C$10:$C$15,Summary!$B$10:$B$15)),0)</f>
        <v>0</v>
      </c>
    </row>
    <row r="303" spans="1:20" x14ac:dyDescent="0.25">
      <c r="A303">
        <v>38979</v>
      </c>
      <c r="B303" t="s">
        <v>43</v>
      </c>
      <c r="C303" t="s">
        <v>35</v>
      </c>
      <c r="D303" s="11">
        <v>973</v>
      </c>
      <c r="E303">
        <v>10.119999999999999</v>
      </c>
      <c r="F303">
        <v>15</v>
      </c>
      <c r="G303">
        <f t="shared" si="28"/>
        <v>14595</v>
      </c>
      <c r="H303" t="s">
        <v>72</v>
      </c>
      <c r="J303" s="9">
        <v>45313</v>
      </c>
      <c r="K303" t="s">
        <v>40</v>
      </c>
      <c r="L303" t="s">
        <v>24</v>
      </c>
      <c r="M303" t="str">
        <f t="shared" si="29"/>
        <v>Public Sector</v>
      </c>
      <c r="N303" t="str">
        <f t="shared" si="30"/>
        <v>Small Order</v>
      </c>
      <c r="O303">
        <f t="shared" si="31"/>
        <v>0</v>
      </c>
      <c r="P303">
        <f t="shared" si="32"/>
        <v>0</v>
      </c>
      <c r="Q303" t="b">
        <f t="shared" si="33"/>
        <v>0</v>
      </c>
      <c r="R303">
        <f t="shared" si="34"/>
        <v>0</v>
      </c>
      <c r="S303" s="14">
        <f>_xlfn.XLOOKUP(B303,Summary!$C$10:$C$15,Summary!$B$10:$B$15)</f>
        <v>0.21</v>
      </c>
      <c r="T303">
        <f>IF(AND(H303="Yes",L303&lt;&gt;"Government"),G303*(_xlfn.XLOOKUP(B303,Summary!$C$10:$C$15,Summary!$B$10:$B$15)),0)</f>
        <v>0</v>
      </c>
    </row>
    <row r="304" spans="1:20" x14ac:dyDescent="0.25">
      <c r="A304">
        <v>22084</v>
      </c>
      <c r="B304" t="s">
        <v>42</v>
      </c>
      <c r="C304" t="s">
        <v>35</v>
      </c>
      <c r="D304" s="11">
        <v>1114</v>
      </c>
      <c r="E304">
        <v>10.07</v>
      </c>
      <c r="F304">
        <v>15</v>
      </c>
      <c r="G304">
        <f t="shared" si="28"/>
        <v>16710</v>
      </c>
      <c r="H304" t="s">
        <v>71</v>
      </c>
      <c r="J304" s="9">
        <v>45576</v>
      </c>
      <c r="K304" t="s">
        <v>40</v>
      </c>
      <c r="L304" t="s">
        <v>33</v>
      </c>
      <c r="M304" t="str">
        <f t="shared" si="29"/>
        <v>Private Industry</v>
      </c>
      <c r="N304" t="str">
        <f t="shared" si="30"/>
        <v>Small Order</v>
      </c>
      <c r="O304">
        <f t="shared" si="31"/>
        <v>3843.3</v>
      </c>
      <c r="P304">
        <f t="shared" si="32"/>
        <v>3843.3</v>
      </c>
      <c r="Q304" t="b">
        <f t="shared" si="33"/>
        <v>1</v>
      </c>
      <c r="R304">
        <f t="shared" si="34"/>
        <v>3843.3</v>
      </c>
      <c r="S304" s="14">
        <f>_xlfn.XLOOKUP(B304,Summary!$C$10:$C$15,Summary!$B$10:$B$15)</f>
        <v>0.24</v>
      </c>
      <c r="T304">
        <f>IF(AND(H304="Yes",L304&lt;&gt;"Government"),G304*(_xlfn.XLOOKUP(B304,Summary!$C$10:$C$15,Summary!$B$10:$B$15)),0)</f>
        <v>4010.3999999999996</v>
      </c>
    </row>
    <row r="305" spans="1:20" x14ac:dyDescent="0.25">
      <c r="A305">
        <v>37140</v>
      </c>
      <c r="B305" t="s">
        <v>32</v>
      </c>
      <c r="C305" t="s">
        <v>25</v>
      </c>
      <c r="D305" s="11">
        <v>1580</v>
      </c>
      <c r="E305">
        <v>3.2</v>
      </c>
      <c r="F305">
        <v>4</v>
      </c>
      <c r="G305">
        <f t="shared" si="28"/>
        <v>6320</v>
      </c>
      <c r="H305" t="s">
        <v>72</v>
      </c>
      <c r="J305" s="9">
        <v>45369</v>
      </c>
      <c r="K305" t="s">
        <v>40</v>
      </c>
      <c r="L305" t="s">
        <v>31</v>
      </c>
      <c r="M305" t="str">
        <f t="shared" si="29"/>
        <v>Private Industry</v>
      </c>
      <c r="N305" t="str">
        <f t="shared" si="30"/>
        <v>Large Order</v>
      </c>
      <c r="O305">
        <f t="shared" si="31"/>
        <v>0</v>
      </c>
      <c r="P305">
        <f t="shared" si="32"/>
        <v>0</v>
      </c>
      <c r="Q305" t="b">
        <f t="shared" si="33"/>
        <v>0</v>
      </c>
      <c r="R305">
        <f t="shared" si="34"/>
        <v>0</v>
      </c>
      <c r="S305" s="14">
        <f>_xlfn.XLOOKUP(B305,Summary!$C$10:$C$15,Summary!$B$10:$B$15)</f>
        <v>0.23</v>
      </c>
      <c r="T305">
        <f>IF(AND(H305="Yes",L305&lt;&gt;"Government"),G305*(_xlfn.XLOOKUP(B305,Summary!$C$10:$C$15,Summary!$B$10:$B$15)),0)</f>
        <v>0</v>
      </c>
    </row>
    <row r="306" spans="1:20" x14ac:dyDescent="0.25">
      <c r="A306">
        <v>65585</v>
      </c>
      <c r="B306" t="s">
        <v>42</v>
      </c>
      <c r="C306" t="s">
        <v>38</v>
      </c>
      <c r="D306" s="11">
        <v>546</v>
      </c>
      <c r="E306">
        <v>260.64999999999998</v>
      </c>
      <c r="F306">
        <v>373</v>
      </c>
      <c r="G306">
        <f t="shared" si="28"/>
        <v>203658</v>
      </c>
      <c r="H306" t="s">
        <v>72</v>
      </c>
      <c r="J306" s="9">
        <v>45607</v>
      </c>
      <c r="K306" t="s">
        <v>41</v>
      </c>
      <c r="L306" t="s">
        <v>34</v>
      </c>
      <c r="M306" t="str">
        <f t="shared" si="29"/>
        <v>Private Industry</v>
      </c>
      <c r="N306" t="str">
        <f t="shared" si="30"/>
        <v>Small Order</v>
      </c>
      <c r="O306">
        <f t="shared" si="31"/>
        <v>0</v>
      </c>
      <c r="P306">
        <f t="shared" si="32"/>
        <v>0</v>
      </c>
      <c r="Q306" t="b">
        <f t="shared" si="33"/>
        <v>0</v>
      </c>
      <c r="R306">
        <f t="shared" si="34"/>
        <v>0</v>
      </c>
      <c r="S306" s="14">
        <f>_xlfn.XLOOKUP(B306,Summary!$C$10:$C$15,Summary!$B$10:$B$15)</f>
        <v>0.24</v>
      </c>
      <c r="T306">
        <f>IF(AND(H306="Yes",L306&lt;&gt;"Government"),G306*(_xlfn.XLOOKUP(B306,Summary!$C$10:$C$15,Summary!$B$10:$B$15)),0)</f>
        <v>0</v>
      </c>
    </row>
    <row r="307" spans="1:20" x14ac:dyDescent="0.25">
      <c r="A307">
        <v>54229</v>
      </c>
      <c r="B307" t="s">
        <v>42</v>
      </c>
      <c r="C307" t="s">
        <v>35</v>
      </c>
      <c r="D307" s="11">
        <v>788</v>
      </c>
      <c r="E307">
        <v>10.57</v>
      </c>
      <c r="F307">
        <v>14</v>
      </c>
      <c r="G307">
        <f t="shared" si="28"/>
        <v>11032</v>
      </c>
      <c r="H307" t="s">
        <v>72</v>
      </c>
      <c r="J307" s="9">
        <v>45106</v>
      </c>
      <c r="K307" t="s">
        <v>26</v>
      </c>
      <c r="L307" t="s">
        <v>34</v>
      </c>
      <c r="M307" t="str">
        <f t="shared" si="29"/>
        <v>Private Industry</v>
      </c>
      <c r="N307" t="str">
        <f t="shared" si="30"/>
        <v>Small Order</v>
      </c>
      <c r="O307">
        <f t="shared" si="31"/>
        <v>0</v>
      </c>
      <c r="P307">
        <f t="shared" si="32"/>
        <v>0</v>
      </c>
      <c r="Q307" t="b">
        <f t="shared" si="33"/>
        <v>0</v>
      </c>
      <c r="R307">
        <f t="shared" si="34"/>
        <v>0</v>
      </c>
      <c r="S307" s="14">
        <f>_xlfn.XLOOKUP(B307,Summary!$C$10:$C$15,Summary!$B$10:$B$15)</f>
        <v>0.24</v>
      </c>
      <c r="T307">
        <f>IF(AND(H307="Yes",L307&lt;&gt;"Government"),G307*(_xlfn.XLOOKUP(B307,Summary!$C$10:$C$15,Summary!$B$10:$B$15)),0)</f>
        <v>0</v>
      </c>
    </row>
    <row r="308" spans="1:20" x14ac:dyDescent="0.25">
      <c r="A308">
        <v>72160</v>
      </c>
      <c r="B308" t="s">
        <v>42</v>
      </c>
      <c r="C308" t="s">
        <v>38</v>
      </c>
      <c r="D308" s="11">
        <v>1694</v>
      </c>
      <c r="E308">
        <v>260.33</v>
      </c>
      <c r="F308">
        <v>360</v>
      </c>
      <c r="G308">
        <f t="shared" si="28"/>
        <v>609840</v>
      </c>
      <c r="H308" t="s">
        <v>71</v>
      </c>
      <c r="J308" s="9">
        <v>45387</v>
      </c>
      <c r="K308" t="s">
        <v>40</v>
      </c>
      <c r="L308" t="s">
        <v>24</v>
      </c>
      <c r="M308" t="str">
        <f t="shared" si="29"/>
        <v>Public Sector</v>
      </c>
      <c r="N308" t="str">
        <f t="shared" si="30"/>
        <v>Large Order</v>
      </c>
      <c r="O308">
        <f t="shared" si="31"/>
        <v>140263.20000000001</v>
      </c>
      <c r="P308">
        <f t="shared" si="32"/>
        <v>0</v>
      </c>
      <c r="Q308" t="b">
        <f t="shared" si="33"/>
        <v>0</v>
      </c>
      <c r="R308">
        <f t="shared" si="34"/>
        <v>0</v>
      </c>
      <c r="S308" s="14">
        <f>_xlfn.XLOOKUP(B308,Summary!$C$10:$C$15,Summary!$B$10:$B$15)</f>
        <v>0.24</v>
      </c>
      <c r="T308">
        <f>IF(AND(H308="Yes",L308&lt;&gt;"Government"),G308*(_xlfn.XLOOKUP(B308,Summary!$C$10:$C$15,Summary!$B$10:$B$15)),0)</f>
        <v>0</v>
      </c>
    </row>
    <row r="309" spans="1:20" x14ac:dyDescent="0.25">
      <c r="A309">
        <v>15301</v>
      </c>
      <c r="B309" t="s">
        <v>44</v>
      </c>
      <c r="C309" t="s">
        <v>37</v>
      </c>
      <c r="D309" s="11">
        <v>2935</v>
      </c>
      <c r="E309">
        <v>250.68</v>
      </c>
      <c r="F309">
        <v>354</v>
      </c>
      <c r="G309">
        <f t="shared" si="28"/>
        <v>1038990</v>
      </c>
      <c r="H309" t="s">
        <v>71</v>
      </c>
      <c r="J309" s="9">
        <v>45137</v>
      </c>
      <c r="K309" t="s">
        <v>41</v>
      </c>
      <c r="L309" t="s">
        <v>24</v>
      </c>
      <c r="M309" t="str">
        <f t="shared" si="29"/>
        <v>Public Sector</v>
      </c>
      <c r="N309" t="str">
        <f t="shared" si="30"/>
        <v>Large Order</v>
      </c>
      <c r="O309">
        <f t="shared" si="31"/>
        <v>238967.7</v>
      </c>
      <c r="P309">
        <f t="shared" si="32"/>
        <v>0</v>
      </c>
      <c r="Q309" t="b">
        <f t="shared" si="33"/>
        <v>0</v>
      </c>
      <c r="R309">
        <f t="shared" si="34"/>
        <v>0</v>
      </c>
      <c r="S309" s="14">
        <f>_xlfn.XLOOKUP(B309,Summary!$C$10:$C$15,Summary!$B$10:$B$15)</f>
        <v>0.2</v>
      </c>
      <c r="T309">
        <f>IF(AND(H309="Yes",L309&lt;&gt;"Government"),G309*(_xlfn.XLOOKUP(B309,Summary!$C$10:$C$15,Summary!$B$10:$B$15)),0)</f>
        <v>0</v>
      </c>
    </row>
    <row r="310" spans="1:20" x14ac:dyDescent="0.25">
      <c r="A310">
        <v>98280</v>
      </c>
      <c r="B310" t="s">
        <v>43</v>
      </c>
      <c r="C310" t="s">
        <v>35</v>
      </c>
      <c r="D310" s="11">
        <v>3495</v>
      </c>
      <c r="E310">
        <v>10.23</v>
      </c>
      <c r="F310">
        <v>16</v>
      </c>
      <c r="G310">
        <f t="shared" si="28"/>
        <v>55920</v>
      </c>
      <c r="H310" t="s">
        <v>71</v>
      </c>
      <c r="J310" s="9">
        <v>45763</v>
      </c>
      <c r="K310" t="s">
        <v>41</v>
      </c>
      <c r="L310" t="s">
        <v>34</v>
      </c>
      <c r="M310" t="str">
        <f t="shared" si="29"/>
        <v>Private Industry</v>
      </c>
      <c r="N310" t="str">
        <f t="shared" si="30"/>
        <v>Large Order</v>
      </c>
      <c r="O310">
        <f t="shared" si="31"/>
        <v>12861.6</v>
      </c>
      <c r="P310">
        <f t="shared" si="32"/>
        <v>12861.6</v>
      </c>
      <c r="Q310" t="b">
        <f t="shared" si="33"/>
        <v>1</v>
      </c>
      <c r="R310">
        <f t="shared" si="34"/>
        <v>12861.6</v>
      </c>
      <c r="S310" s="14">
        <f>_xlfn.XLOOKUP(B310,Summary!$C$10:$C$15,Summary!$B$10:$B$15)</f>
        <v>0.21</v>
      </c>
      <c r="T310">
        <f>IF(AND(H310="Yes",L310&lt;&gt;"Government"),G310*(_xlfn.XLOOKUP(B310,Summary!$C$10:$C$15,Summary!$B$10:$B$15)),0)</f>
        <v>11743.199999999999</v>
      </c>
    </row>
    <row r="311" spans="1:20" x14ac:dyDescent="0.25">
      <c r="A311">
        <v>23829</v>
      </c>
      <c r="B311" t="s">
        <v>27</v>
      </c>
      <c r="C311" t="s">
        <v>38</v>
      </c>
      <c r="D311" s="11">
        <v>1770</v>
      </c>
      <c r="E311">
        <v>260.45</v>
      </c>
      <c r="F311">
        <v>368</v>
      </c>
      <c r="G311">
        <f t="shared" si="28"/>
        <v>651360</v>
      </c>
      <c r="H311" t="s">
        <v>71</v>
      </c>
      <c r="J311" s="9">
        <v>45271</v>
      </c>
      <c r="K311" t="s">
        <v>41</v>
      </c>
      <c r="L311" t="s">
        <v>31</v>
      </c>
      <c r="M311" t="str">
        <f t="shared" si="29"/>
        <v>Private Industry</v>
      </c>
      <c r="N311" t="str">
        <f t="shared" si="30"/>
        <v>Large Order</v>
      </c>
      <c r="O311">
        <f t="shared" si="31"/>
        <v>149812.80000000002</v>
      </c>
      <c r="P311">
        <f t="shared" si="32"/>
        <v>149812.80000000002</v>
      </c>
      <c r="Q311" t="b">
        <f t="shared" si="33"/>
        <v>1</v>
      </c>
      <c r="R311">
        <f t="shared" si="34"/>
        <v>149812.80000000002</v>
      </c>
      <c r="S311" s="14">
        <f>_xlfn.XLOOKUP(B311,Summary!$C$10:$C$15,Summary!$B$10:$B$15)</f>
        <v>0.19</v>
      </c>
      <c r="T311">
        <f>IF(AND(H311="Yes",L311&lt;&gt;"Government"),G311*(_xlfn.XLOOKUP(B311,Summary!$C$10:$C$15,Summary!$B$10:$B$15)),0)</f>
        <v>123758.39999999999</v>
      </c>
    </row>
    <row r="312" spans="1:20" x14ac:dyDescent="0.25">
      <c r="A312">
        <v>20093</v>
      </c>
      <c r="B312" t="s">
        <v>43</v>
      </c>
      <c r="C312" t="s">
        <v>35</v>
      </c>
      <c r="D312" s="11">
        <v>4492</v>
      </c>
      <c r="E312">
        <v>10.85</v>
      </c>
      <c r="F312">
        <v>13</v>
      </c>
      <c r="G312">
        <f t="shared" si="28"/>
        <v>58396</v>
      </c>
      <c r="H312" t="s">
        <v>72</v>
      </c>
      <c r="J312" s="9">
        <v>45445</v>
      </c>
      <c r="K312" t="s">
        <v>39</v>
      </c>
      <c r="L312" t="s">
        <v>24</v>
      </c>
      <c r="M312" t="str">
        <f t="shared" si="29"/>
        <v>Public Sector</v>
      </c>
      <c r="N312" t="str">
        <f t="shared" si="30"/>
        <v>Large Order</v>
      </c>
      <c r="O312">
        <f t="shared" si="31"/>
        <v>0</v>
      </c>
      <c r="P312">
        <f t="shared" si="32"/>
        <v>0</v>
      </c>
      <c r="Q312" t="b">
        <f t="shared" si="33"/>
        <v>0</v>
      </c>
      <c r="R312">
        <f t="shared" si="34"/>
        <v>0</v>
      </c>
      <c r="S312" s="14">
        <f>_xlfn.XLOOKUP(B312,Summary!$C$10:$C$15,Summary!$B$10:$B$15)</f>
        <v>0.21</v>
      </c>
      <c r="T312">
        <f>IF(AND(H312="Yes",L312&lt;&gt;"Government"),G312*(_xlfn.XLOOKUP(B312,Summary!$C$10:$C$15,Summary!$B$10:$B$15)),0)</f>
        <v>0</v>
      </c>
    </row>
    <row r="313" spans="1:20" x14ac:dyDescent="0.25">
      <c r="A313">
        <v>70172</v>
      </c>
      <c r="B313" t="s">
        <v>29</v>
      </c>
      <c r="C313" t="s">
        <v>36</v>
      </c>
      <c r="D313" s="11">
        <v>3997</v>
      </c>
      <c r="E313">
        <v>120.64</v>
      </c>
      <c r="F313">
        <v>128</v>
      </c>
      <c r="G313">
        <f t="shared" si="28"/>
        <v>511616</v>
      </c>
      <c r="H313" t="s">
        <v>71</v>
      </c>
      <c r="J313" s="9">
        <v>45520</v>
      </c>
      <c r="K313" t="s">
        <v>41</v>
      </c>
      <c r="L313" t="s">
        <v>28</v>
      </c>
      <c r="M313" t="str">
        <f t="shared" si="29"/>
        <v>Private Industry</v>
      </c>
      <c r="N313" t="str">
        <f t="shared" si="30"/>
        <v>Large Order</v>
      </c>
      <c r="O313">
        <f t="shared" si="31"/>
        <v>117671.68000000001</v>
      </c>
      <c r="P313">
        <f t="shared" si="32"/>
        <v>117671.68000000001</v>
      </c>
      <c r="Q313" t="b">
        <f t="shared" si="33"/>
        <v>1</v>
      </c>
      <c r="R313">
        <f t="shared" si="34"/>
        <v>117671.68000000001</v>
      </c>
      <c r="S313" s="14">
        <f>_xlfn.XLOOKUP(B313,Summary!$C$10:$C$15,Summary!$B$10:$B$15)</f>
        <v>0.22</v>
      </c>
      <c r="T313">
        <f>IF(AND(H313="Yes",L313&lt;&gt;"Government"),G313*(_xlfn.XLOOKUP(B313,Summary!$C$10:$C$15,Summary!$B$10:$B$15)),0)</f>
        <v>112555.52</v>
      </c>
    </row>
    <row r="314" spans="1:20" x14ac:dyDescent="0.25">
      <c r="A314">
        <v>65178</v>
      </c>
      <c r="B314" t="s">
        <v>27</v>
      </c>
      <c r="C314" t="s">
        <v>30</v>
      </c>
      <c r="D314" s="11">
        <v>2146</v>
      </c>
      <c r="E314">
        <v>5.12</v>
      </c>
      <c r="F314">
        <v>7</v>
      </c>
      <c r="G314">
        <f t="shared" si="28"/>
        <v>15022</v>
      </c>
      <c r="H314" t="s">
        <v>72</v>
      </c>
      <c r="J314" s="9">
        <v>45321</v>
      </c>
      <c r="K314" t="s">
        <v>26</v>
      </c>
      <c r="L314" t="s">
        <v>24</v>
      </c>
      <c r="M314" t="str">
        <f t="shared" si="29"/>
        <v>Public Sector</v>
      </c>
      <c r="N314" t="str">
        <f t="shared" si="30"/>
        <v>Large Order</v>
      </c>
      <c r="O314">
        <f t="shared" si="31"/>
        <v>0</v>
      </c>
      <c r="P314">
        <f t="shared" si="32"/>
        <v>0</v>
      </c>
      <c r="Q314" t="b">
        <f t="shared" si="33"/>
        <v>0</v>
      </c>
      <c r="R314">
        <f t="shared" si="34"/>
        <v>0</v>
      </c>
      <c r="S314" s="14">
        <f>_xlfn.XLOOKUP(B314,Summary!$C$10:$C$15,Summary!$B$10:$B$15)</f>
        <v>0.19</v>
      </c>
      <c r="T314">
        <f>IF(AND(H314="Yes",L314&lt;&gt;"Government"),G314*(_xlfn.XLOOKUP(B314,Summary!$C$10:$C$15,Summary!$B$10:$B$15)),0)</f>
        <v>0</v>
      </c>
    </row>
    <row r="315" spans="1:20" x14ac:dyDescent="0.25">
      <c r="A315">
        <v>68168</v>
      </c>
      <c r="B315" t="s">
        <v>32</v>
      </c>
      <c r="C315" t="s">
        <v>35</v>
      </c>
      <c r="D315" s="11">
        <v>1785</v>
      </c>
      <c r="E315">
        <v>10.65</v>
      </c>
      <c r="F315">
        <v>14</v>
      </c>
      <c r="G315">
        <f t="shared" si="28"/>
        <v>24990</v>
      </c>
      <c r="H315" t="s">
        <v>72</v>
      </c>
      <c r="J315" s="9">
        <v>45717</v>
      </c>
      <c r="K315" t="s">
        <v>39</v>
      </c>
      <c r="L315" t="s">
        <v>31</v>
      </c>
      <c r="M315" t="str">
        <f t="shared" si="29"/>
        <v>Private Industry</v>
      </c>
      <c r="N315" t="str">
        <f t="shared" si="30"/>
        <v>Large Order</v>
      </c>
      <c r="O315">
        <f t="shared" si="31"/>
        <v>0</v>
      </c>
      <c r="P315">
        <f t="shared" si="32"/>
        <v>0</v>
      </c>
      <c r="Q315" t="b">
        <f t="shared" si="33"/>
        <v>0</v>
      </c>
      <c r="R315">
        <f t="shared" si="34"/>
        <v>0</v>
      </c>
      <c r="S315" s="14">
        <f>_xlfn.XLOOKUP(B315,Summary!$C$10:$C$15,Summary!$B$10:$B$15)</f>
        <v>0.23</v>
      </c>
      <c r="T315">
        <f>IF(AND(H315="Yes",L315&lt;&gt;"Government"),G315*(_xlfn.XLOOKUP(B315,Summary!$C$10:$C$15,Summary!$B$10:$B$15)),0)</f>
        <v>0</v>
      </c>
    </row>
    <row r="316" spans="1:20" x14ac:dyDescent="0.25">
      <c r="A316">
        <v>98283</v>
      </c>
      <c r="B316" t="s">
        <v>44</v>
      </c>
      <c r="C316" t="s">
        <v>35</v>
      </c>
      <c r="D316" s="11">
        <v>2559</v>
      </c>
      <c r="E316">
        <v>10.69</v>
      </c>
      <c r="F316">
        <v>12</v>
      </c>
      <c r="G316">
        <f t="shared" si="28"/>
        <v>30708</v>
      </c>
      <c r="H316" t="s">
        <v>72</v>
      </c>
      <c r="J316" s="9">
        <v>45556</v>
      </c>
      <c r="K316" t="s">
        <v>41</v>
      </c>
      <c r="L316" t="s">
        <v>28</v>
      </c>
      <c r="M316" t="str">
        <f t="shared" si="29"/>
        <v>Private Industry</v>
      </c>
      <c r="N316" t="str">
        <f t="shared" si="30"/>
        <v>Large Order</v>
      </c>
      <c r="O316">
        <f t="shared" si="31"/>
        <v>0</v>
      </c>
      <c r="P316">
        <f t="shared" si="32"/>
        <v>0</v>
      </c>
      <c r="Q316" t="b">
        <f t="shared" si="33"/>
        <v>0</v>
      </c>
      <c r="R316">
        <f t="shared" si="34"/>
        <v>0</v>
      </c>
      <c r="S316" s="14">
        <f>_xlfn.XLOOKUP(B316,Summary!$C$10:$C$15,Summary!$B$10:$B$15)</f>
        <v>0.2</v>
      </c>
      <c r="T316">
        <f>IF(AND(H316="Yes",L316&lt;&gt;"Government"),G316*(_xlfn.XLOOKUP(B316,Summary!$C$10:$C$15,Summary!$B$10:$B$15)),0)</f>
        <v>0</v>
      </c>
    </row>
    <row r="317" spans="1:20" x14ac:dyDescent="0.25">
      <c r="A317">
        <v>75858</v>
      </c>
      <c r="B317" t="s">
        <v>29</v>
      </c>
      <c r="C317" t="s">
        <v>30</v>
      </c>
      <c r="D317" s="11">
        <v>1403</v>
      </c>
      <c r="E317">
        <v>5.86</v>
      </c>
      <c r="F317">
        <v>7</v>
      </c>
      <c r="G317">
        <f t="shared" si="28"/>
        <v>9821</v>
      </c>
      <c r="H317" t="s">
        <v>71</v>
      </c>
      <c r="J317" s="9">
        <v>45190</v>
      </c>
      <c r="K317" t="s">
        <v>40</v>
      </c>
      <c r="L317" t="s">
        <v>24</v>
      </c>
      <c r="M317" t="str">
        <f t="shared" si="29"/>
        <v>Public Sector</v>
      </c>
      <c r="N317" t="str">
        <f t="shared" si="30"/>
        <v>Small Order</v>
      </c>
      <c r="O317">
        <f t="shared" si="31"/>
        <v>2258.83</v>
      </c>
      <c r="P317">
        <f t="shared" si="32"/>
        <v>0</v>
      </c>
      <c r="Q317" t="b">
        <f t="shared" si="33"/>
        <v>0</v>
      </c>
      <c r="R317">
        <f t="shared" si="34"/>
        <v>0</v>
      </c>
      <c r="S317" s="14">
        <f>_xlfn.XLOOKUP(B317,Summary!$C$10:$C$15,Summary!$B$10:$B$15)</f>
        <v>0.22</v>
      </c>
      <c r="T317">
        <f>IF(AND(H317="Yes",L317&lt;&gt;"Government"),G317*(_xlfn.XLOOKUP(B317,Summary!$C$10:$C$15,Summary!$B$10:$B$15)),0)</f>
        <v>0</v>
      </c>
    </row>
    <row r="318" spans="1:20" x14ac:dyDescent="0.25">
      <c r="A318">
        <v>23885</v>
      </c>
      <c r="B318" t="s">
        <v>44</v>
      </c>
      <c r="C318" t="s">
        <v>38</v>
      </c>
      <c r="D318" s="11">
        <v>1916</v>
      </c>
      <c r="E318">
        <v>260.87</v>
      </c>
      <c r="F318">
        <v>337</v>
      </c>
      <c r="G318">
        <f t="shared" si="28"/>
        <v>645692</v>
      </c>
      <c r="H318" t="s">
        <v>71</v>
      </c>
      <c r="J318" s="9">
        <v>45246</v>
      </c>
      <c r="K318" t="s">
        <v>39</v>
      </c>
      <c r="L318" t="s">
        <v>34</v>
      </c>
      <c r="M318" t="str">
        <f t="shared" si="29"/>
        <v>Private Industry</v>
      </c>
      <c r="N318" t="str">
        <f t="shared" si="30"/>
        <v>Large Order</v>
      </c>
      <c r="O318">
        <f t="shared" si="31"/>
        <v>148509.16</v>
      </c>
      <c r="P318">
        <f t="shared" si="32"/>
        <v>148509.16</v>
      </c>
      <c r="Q318" t="b">
        <f t="shared" si="33"/>
        <v>1</v>
      </c>
      <c r="R318">
        <f t="shared" si="34"/>
        <v>148509.16</v>
      </c>
      <c r="S318" s="14">
        <f>_xlfn.XLOOKUP(B318,Summary!$C$10:$C$15,Summary!$B$10:$B$15)</f>
        <v>0.2</v>
      </c>
      <c r="T318">
        <f>IF(AND(H318="Yes",L318&lt;&gt;"Government"),G318*(_xlfn.XLOOKUP(B318,Summary!$C$10:$C$15,Summary!$B$10:$B$15)),0)</f>
        <v>129138.40000000001</v>
      </c>
    </row>
    <row r="319" spans="1:20" x14ac:dyDescent="0.25">
      <c r="A319">
        <v>23073</v>
      </c>
      <c r="B319" t="s">
        <v>43</v>
      </c>
      <c r="C319" t="s">
        <v>38</v>
      </c>
      <c r="D319" s="11">
        <v>671</v>
      </c>
      <c r="E319">
        <v>260.27999999999997</v>
      </c>
      <c r="F319">
        <v>347</v>
      </c>
      <c r="G319">
        <f t="shared" si="28"/>
        <v>232837</v>
      </c>
      <c r="H319" t="s">
        <v>72</v>
      </c>
      <c r="J319" s="9">
        <v>45347</v>
      </c>
      <c r="K319" t="s">
        <v>39</v>
      </c>
      <c r="L319" t="s">
        <v>28</v>
      </c>
      <c r="M319" t="str">
        <f t="shared" si="29"/>
        <v>Private Industry</v>
      </c>
      <c r="N319" t="str">
        <f t="shared" si="30"/>
        <v>Small Order</v>
      </c>
      <c r="O319">
        <f t="shared" si="31"/>
        <v>0</v>
      </c>
      <c r="P319">
        <f t="shared" si="32"/>
        <v>0</v>
      </c>
      <c r="Q319" t="b">
        <f t="shared" si="33"/>
        <v>0</v>
      </c>
      <c r="R319">
        <f t="shared" si="34"/>
        <v>0</v>
      </c>
      <c r="S319" s="14">
        <f>_xlfn.XLOOKUP(B319,Summary!$C$10:$C$15,Summary!$B$10:$B$15)</f>
        <v>0.21</v>
      </c>
      <c r="T319">
        <f>IF(AND(H319="Yes",L319&lt;&gt;"Government"),G319*(_xlfn.XLOOKUP(B319,Summary!$C$10:$C$15,Summary!$B$10:$B$15)),0)</f>
        <v>0</v>
      </c>
    </row>
    <row r="320" spans="1:20" x14ac:dyDescent="0.25">
      <c r="A320">
        <v>31981</v>
      </c>
      <c r="B320" t="s">
        <v>44</v>
      </c>
      <c r="C320" t="s">
        <v>37</v>
      </c>
      <c r="D320" s="11">
        <v>623</v>
      </c>
      <c r="E320">
        <v>250.71</v>
      </c>
      <c r="F320">
        <v>369</v>
      </c>
      <c r="G320">
        <f t="shared" si="28"/>
        <v>229887</v>
      </c>
      <c r="H320" t="s">
        <v>71</v>
      </c>
      <c r="J320" s="9">
        <v>45363</v>
      </c>
      <c r="K320" t="s">
        <v>41</v>
      </c>
      <c r="L320" t="s">
        <v>24</v>
      </c>
      <c r="M320" t="str">
        <f t="shared" si="29"/>
        <v>Public Sector</v>
      </c>
      <c r="N320" t="str">
        <f t="shared" si="30"/>
        <v>Small Order</v>
      </c>
      <c r="O320">
        <f t="shared" si="31"/>
        <v>52874.01</v>
      </c>
      <c r="P320">
        <f t="shared" si="32"/>
        <v>0</v>
      </c>
      <c r="Q320" t="b">
        <f t="shared" si="33"/>
        <v>0</v>
      </c>
      <c r="R320">
        <f t="shared" si="34"/>
        <v>0</v>
      </c>
      <c r="S320" s="14">
        <f>_xlfn.XLOOKUP(B320,Summary!$C$10:$C$15,Summary!$B$10:$B$15)</f>
        <v>0.2</v>
      </c>
      <c r="T320">
        <f>IF(AND(H320="Yes",L320&lt;&gt;"Government"),G320*(_xlfn.XLOOKUP(B320,Summary!$C$10:$C$15,Summary!$B$10:$B$15)),0)</f>
        <v>0</v>
      </c>
    </row>
    <row r="321" spans="1:20" x14ac:dyDescent="0.25">
      <c r="A321">
        <v>68498</v>
      </c>
      <c r="B321" t="s">
        <v>43</v>
      </c>
      <c r="C321" t="s">
        <v>35</v>
      </c>
      <c r="D321" s="11">
        <v>380</v>
      </c>
      <c r="E321">
        <v>10.56</v>
      </c>
      <c r="F321">
        <v>13</v>
      </c>
      <c r="G321">
        <f t="shared" si="28"/>
        <v>4940</v>
      </c>
      <c r="H321" t="s">
        <v>72</v>
      </c>
      <c r="J321" s="9">
        <v>45442</v>
      </c>
      <c r="K321" t="s">
        <v>41</v>
      </c>
      <c r="L321" t="s">
        <v>24</v>
      </c>
      <c r="M321" t="str">
        <f t="shared" si="29"/>
        <v>Public Sector</v>
      </c>
      <c r="N321" t="str">
        <f t="shared" si="30"/>
        <v>Small Order</v>
      </c>
      <c r="O321">
        <f t="shared" si="31"/>
        <v>0</v>
      </c>
      <c r="P321">
        <f t="shared" si="32"/>
        <v>0</v>
      </c>
      <c r="Q321" t="b">
        <f t="shared" si="33"/>
        <v>0</v>
      </c>
      <c r="R321">
        <f t="shared" si="34"/>
        <v>0</v>
      </c>
      <c r="S321" s="14">
        <f>_xlfn.XLOOKUP(B321,Summary!$C$10:$C$15,Summary!$B$10:$B$15)</f>
        <v>0.21</v>
      </c>
      <c r="T321">
        <f>IF(AND(H321="Yes",L321&lt;&gt;"Government"),G321*(_xlfn.XLOOKUP(B321,Summary!$C$10:$C$15,Summary!$B$10:$B$15)),0)</f>
        <v>0</v>
      </c>
    </row>
    <row r="322" spans="1:20" x14ac:dyDescent="0.25">
      <c r="A322">
        <v>18324</v>
      </c>
      <c r="B322" t="s">
        <v>43</v>
      </c>
      <c r="C322" t="s">
        <v>35</v>
      </c>
      <c r="D322" s="11">
        <v>2198</v>
      </c>
      <c r="E322">
        <v>10.18</v>
      </c>
      <c r="F322">
        <v>11</v>
      </c>
      <c r="G322">
        <f t="shared" si="28"/>
        <v>24178</v>
      </c>
      <c r="H322" t="s">
        <v>71</v>
      </c>
      <c r="J322" s="9">
        <v>45450</v>
      </c>
      <c r="K322" t="s">
        <v>40</v>
      </c>
      <c r="L322" t="s">
        <v>28</v>
      </c>
      <c r="M322" t="str">
        <f t="shared" si="29"/>
        <v>Private Industry</v>
      </c>
      <c r="N322" t="str">
        <f t="shared" si="30"/>
        <v>Large Order</v>
      </c>
      <c r="O322">
        <f t="shared" si="31"/>
        <v>5560.9400000000005</v>
      </c>
      <c r="P322">
        <f t="shared" si="32"/>
        <v>5560.9400000000005</v>
      </c>
      <c r="Q322" t="b">
        <f t="shared" si="33"/>
        <v>1</v>
      </c>
      <c r="R322">
        <f t="shared" si="34"/>
        <v>5560.9400000000005</v>
      </c>
      <c r="S322" s="14">
        <f>_xlfn.XLOOKUP(B322,Summary!$C$10:$C$15,Summary!$B$10:$B$15)</f>
        <v>0.21</v>
      </c>
      <c r="T322">
        <f>IF(AND(H322="Yes",L322&lt;&gt;"Government"),G322*(_xlfn.XLOOKUP(B322,Summary!$C$10:$C$15,Summary!$B$10:$B$15)),0)</f>
        <v>5077.38</v>
      </c>
    </row>
    <row r="323" spans="1:20" x14ac:dyDescent="0.25">
      <c r="A323">
        <v>74370</v>
      </c>
      <c r="B323" t="s">
        <v>44</v>
      </c>
      <c r="C323" t="s">
        <v>36</v>
      </c>
      <c r="D323" s="11">
        <v>2646</v>
      </c>
      <c r="E323">
        <v>120.49</v>
      </c>
      <c r="F323">
        <v>156</v>
      </c>
      <c r="G323">
        <f t="shared" ref="G323:G386" si="35">D323*F323</f>
        <v>412776</v>
      </c>
      <c r="H323" t="s">
        <v>72</v>
      </c>
      <c r="J323" s="9">
        <v>45435</v>
      </c>
      <c r="K323" t="s">
        <v>39</v>
      </c>
      <c r="L323" t="s">
        <v>24</v>
      </c>
      <c r="M323" t="str">
        <f t="shared" ref="M323:M386" si="36">IF(L323="Government","Public Sector","Private Industry")</f>
        <v>Public Sector</v>
      </c>
      <c r="N323" t="str">
        <f t="shared" ref="N323:N386" si="37">IF(D323&gt;1500,"Large Order","Small Order")</f>
        <v>Large Order</v>
      </c>
      <c r="O323">
        <f t="shared" ref="O323:O386" si="38">IF(H323="Yes",G323*0.23,0)</f>
        <v>0</v>
      </c>
      <c r="P323">
        <f t="shared" ref="P323:P386" si="39">IF(Q323,G323*0.23,0)</f>
        <v>0</v>
      </c>
      <c r="Q323" t="b">
        <f t="shared" ref="Q323:Q386" si="40">AND(H323="Yes",L323&lt;&gt;"Government")</f>
        <v>0</v>
      </c>
      <c r="R323">
        <f t="shared" ref="R323:R386" si="41">IF(AND(H323="Yes",L323&lt;&gt;"Government"),G323*0.23,0)</f>
        <v>0</v>
      </c>
      <c r="S323" s="14">
        <f>_xlfn.XLOOKUP(B323,Summary!$C$10:$C$15,Summary!$B$10:$B$15)</f>
        <v>0.2</v>
      </c>
      <c r="T323">
        <f>IF(AND(H323="Yes",L323&lt;&gt;"Government"),G323*(_xlfn.XLOOKUP(B323,Summary!$C$10:$C$15,Summary!$B$10:$B$15)),0)</f>
        <v>0</v>
      </c>
    </row>
    <row r="324" spans="1:20" x14ac:dyDescent="0.25">
      <c r="A324">
        <v>98766</v>
      </c>
      <c r="B324" t="s">
        <v>42</v>
      </c>
      <c r="C324" t="s">
        <v>38</v>
      </c>
      <c r="D324" s="11">
        <v>344</v>
      </c>
      <c r="E324">
        <v>260.19</v>
      </c>
      <c r="F324">
        <v>380</v>
      </c>
      <c r="G324">
        <f t="shared" si="35"/>
        <v>130720</v>
      </c>
      <c r="H324" t="s">
        <v>71</v>
      </c>
      <c r="J324" s="9">
        <v>45539</v>
      </c>
      <c r="K324" t="s">
        <v>41</v>
      </c>
      <c r="L324" t="s">
        <v>24</v>
      </c>
      <c r="M324" t="str">
        <f t="shared" si="36"/>
        <v>Public Sector</v>
      </c>
      <c r="N324" t="str">
        <f t="shared" si="37"/>
        <v>Small Order</v>
      </c>
      <c r="O324">
        <f t="shared" si="38"/>
        <v>30065.600000000002</v>
      </c>
      <c r="P324">
        <f t="shared" si="39"/>
        <v>0</v>
      </c>
      <c r="Q324" t="b">
        <f t="shared" si="40"/>
        <v>0</v>
      </c>
      <c r="R324">
        <f t="shared" si="41"/>
        <v>0</v>
      </c>
      <c r="S324" s="14">
        <f>_xlfn.XLOOKUP(B324,Summary!$C$10:$C$15,Summary!$B$10:$B$15)</f>
        <v>0.24</v>
      </c>
      <c r="T324">
        <f>IF(AND(H324="Yes",L324&lt;&gt;"Government"),G324*(_xlfn.XLOOKUP(B324,Summary!$C$10:$C$15,Summary!$B$10:$B$15)),0)</f>
        <v>0</v>
      </c>
    </row>
    <row r="325" spans="1:20" x14ac:dyDescent="0.25">
      <c r="A325">
        <v>99206</v>
      </c>
      <c r="B325" t="s">
        <v>44</v>
      </c>
      <c r="C325" t="s">
        <v>25</v>
      </c>
      <c r="D325" s="11">
        <v>908</v>
      </c>
      <c r="E325">
        <v>3.37</v>
      </c>
      <c r="F325">
        <v>5</v>
      </c>
      <c r="G325">
        <f t="shared" si="35"/>
        <v>4540</v>
      </c>
      <c r="H325" t="s">
        <v>72</v>
      </c>
      <c r="J325" s="9">
        <v>45162</v>
      </c>
      <c r="K325" t="s">
        <v>39</v>
      </c>
      <c r="L325" t="s">
        <v>31</v>
      </c>
      <c r="M325" t="str">
        <f t="shared" si="36"/>
        <v>Private Industry</v>
      </c>
      <c r="N325" t="str">
        <f t="shared" si="37"/>
        <v>Small Order</v>
      </c>
      <c r="O325">
        <f t="shared" si="38"/>
        <v>0</v>
      </c>
      <c r="P325">
        <f t="shared" si="39"/>
        <v>0</v>
      </c>
      <c r="Q325" t="b">
        <f t="shared" si="40"/>
        <v>0</v>
      </c>
      <c r="R325">
        <f t="shared" si="41"/>
        <v>0</v>
      </c>
      <c r="S325" s="14">
        <f>_xlfn.XLOOKUP(B325,Summary!$C$10:$C$15,Summary!$B$10:$B$15)</f>
        <v>0.2</v>
      </c>
      <c r="T325">
        <f>IF(AND(H325="Yes",L325&lt;&gt;"Government"),G325*(_xlfn.XLOOKUP(B325,Summary!$C$10:$C$15,Summary!$B$10:$B$15)),0)</f>
        <v>0</v>
      </c>
    </row>
    <row r="326" spans="1:20" x14ac:dyDescent="0.25">
      <c r="A326">
        <v>41331</v>
      </c>
      <c r="B326" t="s">
        <v>29</v>
      </c>
      <c r="C326" t="s">
        <v>35</v>
      </c>
      <c r="D326" s="11">
        <v>2385</v>
      </c>
      <c r="E326">
        <v>10.72</v>
      </c>
      <c r="F326">
        <v>12</v>
      </c>
      <c r="G326">
        <f t="shared" si="35"/>
        <v>28620</v>
      </c>
      <c r="H326" t="s">
        <v>71</v>
      </c>
      <c r="J326" s="9">
        <v>45448</v>
      </c>
      <c r="K326" t="s">
        <v>40</v>
      </c>
      <c r="L326" t="s">
        <v>33</v>
      </c>
      <c r="M326" t="str">
        <f t="shared" si="36"/>
        <v>Private Industry</v>
      </c>
      <c r="N326" t="str">
        <f t="shared" si="37"/>
        <v>Large Order</v>
      </c>
      <c r="O326">
        <f t="shared" si="38"/>
        <v>6582.6</v>
      </c>
      <c r="P326">
        <f t="shared" si="39"/>
        <v>6582.6</v>
      </c>
      <c r="Q326" t="b">
        <f t="shared" si="40"/>
        <v>1</v>
      </c>
      <c r="R326">
        <f t="shared" si="41"/>
        <v>6582.6</v>
      </c>
      <c r="S326" s="14">
        <f>_xlfn.XLOOKUP(B326,Summary!$C$10:$C$15,Summary!$B$10:$B$15)</f>
        <v>0.22</v>
      </c>
      <c r="T326">
        <f>IF(AND(H326="Yes",L326&lt;&gt;"Government"),G326*(_xlfn.XLOOKUP(B326,Summary!$C$10:$C$15,Summary!$B$10:$B$15)),0)</f>
        <v>6296.4</v>
      </c>
    </row>
    <row r="327" spans="1:20" x14ac:dyDescent="0.25">
      <c r="A327">
        <v>41208</v>
      </c>
      <c r="B327" t="s">
        <v>44</v>
      </c>
      <c r="C327" t="s">
        <v>38</v>
      </c>
      <c r="D327" s="11">
        <v>552</v>
      </c>
      <c r="E327">
        <v>260.41000000000003</v>
      </c>
      <c r="F327">
        <v>316</v>
      </c>
      <c r="G327">
        <f t="shared" si="35"/>
        <v>174432</v>
      </c>
      <c r="H327" t="s">
        <v>72</v>
      </c>
      <c r="J327" s="9">
        <v>45396</v>
      </c>
      <c r="K327" t="s">
        <v>40</v>
      </c>
      <c r="L327" t="s">
        <v>24</v>
      </c>
      <c r="M327" t="str">
        <f t="shared" si="36"/>
        <v>Public Sector</v>
      </c>
      <c r="N327" t="str">
        <f t="shared" si="37"/>
        <v>Small Order</v>
      </c>
      <c r="O327">
        <f t="shared" si="38"/>
        <v>0</v>
      </c>
      <c r="P327">
        <f t="shared" si="39"/>
        <v>0</v>
      </c>
      <c r="Q327" t="b">
        <f t="shared" si="40"/>
        <v>0</v>
      </c>
      <c r="R327">
        <f t="shared" si="41"/>
        <v>0</v>
      </c>
      <c r="S327" s="14">
        <f>_xlfn.XLOOKUP(B327,Summary!$C$10:$C$15,Summary!$B$10:$B$15)</f>
        <v>0.2</v>
      </c>
      <c r="T327">
        <f>IF(AND(H327="Yes",L327&lt;&gt;"Government"),G327*(_xlfn.XLOOKUP(B327,Summary!$C$10:$C$15,Summary!$B$10:$B$15)),0)</f>
        <v>0</v>
      </c>
    </row>
    <row r="328" spans="1:20" x14ac:dyDescent="0.25">
      <c r="A328">
        <v>76683</v>
      </c>
      <c r="B328" t="s">
        <v>27</v>
      </c>
      <c r="C328" t="s">
        <v>25</v>
      </c>
      <c r="D328" s="11">
        <v>1513</v>
      </c>
      <c r="E328">
        <v>3.31</v>
      </c>
      <c r="F328">
        <v>5</v>
      </c>
      <c r="G328">
        <f t="shared" si="35"/>
        <v>7565</v>
      </c>
      <c r="H328" t="s">
        <v>72</v>
      </c>
      <c r="J328" s="9">
        <v>45785</v>
      </c>
      <c r="K328" t="s">
        <v>41</v>
      </c>
      <c r="L328" t="s">
        <v>28</v>
      </c>
      <c r="M328" t="str">
        <f t="shared" si="36"/>
        <v>Private Industry</v>
      </c>
      <c r="N328" t="str">
        <f t="shared" si="37"/>
        <v>Large Order</v>
      </c>
      <c r="O328">
        <f t="shared" si="38"/>
        <v>0</v>
      </c>
      <c r="P328">
        <f t="shared" si="39"/>
        <v>0</v>
      </c>
      <c r="Q328" t="b">
        <f t="shared" si="40"/>
        <v>0</v>
      </c>
      <c r="R328">
        <f t="shared" si="41"/>
        <v>0</v>
      </c>
      <c r="S328" s="14">
        <f>_xlfn.XLOOKUP(B328,Summary!$C$10:$C$15,Summary!$B$10:$B$15)</f>
        <v>0.19</v>
      </c>
      <c r="T328">
        <f>IF(AND(H328="Yes",L328&lt;&gt;"Government"),G328*(_xlfn.XLOOKUP(B328,Summary!$C$10:$C$15,Summary!$B$10:$B$15)),0)</f>
        <v>0</v>
      </c>
    </row>
    <row r="329" spans="1:20" x14ac:dyDescent="0.25">
      <c r="A329">
        <v>22780</v>
      </c>
      <c r="B329" t="s">
        <v>27</v>
      </c>
      <c r="C329" t="s">
        <v>36</v>
      </c>
      <c r="D329" s="11">
        <v>2966</v>
      </c>
      <c r="E329">
        <v>120.2</v>
      </c>
      <c r="F329">
        <v>128</v>
      </c>
      <c r="G329">
        <f t="shared" si="35"/>
        <v>379648</v>
      </c>
      <c r="H329" t="s">
        <v>71</v>
      </c>
      <c r="J329" s="9">
        <v>45077</v>
      </c>
      <c r="K329" t="s">
        <v>39</v>
      </c>
      <c r="L329" t="s">
        <v>24</v>
      </c>
      <c r="M329" t="str">
        <f t="shared" si="36"/>
        <v>Public Sector</v>
      </c>
      <c r="N329" t="str">
        <f t="shared" si="37"/>
        <v>Large Order</v>
      </c>
      <c r="O329">
        <f t="shared" si="38"/>
        <v>87319.040000000008</v>
      </c>
      <c r="P329">
        <f t="shared" si="39"/>
        <v>0</v>
      </c>
      <c r="Q329" t="b">
        <f t="shared" si="40"/>
        <v>0</v>
      </c>
      <c r="R329">
        <f t="shared" si="41"/>
        <v>0</v>
      </c>
      <c r="S329" s="14">
        <f>_xlfn.XLOOKUP(B329,Summary!$C$10:$C$15,Summary!$B$10:$B$15)</f>
        <v>0.19</v>
      </c>
      <c r="T329">
        <f>IF(AND(H329="Yes",L329&lt;&gt;"Government"),G329*(_xlfn.XLOOKUP(B329,Summary!$C$10:$C$15,Summary!$B$10:$B$15)),0)</f>
        <v>0</v>
      </c>
    </row>
    <row r="330" spans="1:20" x14ac:dyDescent="0.25">
      <c r="A330">
        <v>93736</v>
      </c>
      <c r="B330" t="s">
        <v>42</v>
      </c>
      <c r="C330" t="s">
        <v>38</v>
      </c>
      <c r="D330" s="11">
        <v>1038</v>
      </c>
      <c r="E330">
        <v>260.25</v>
      </c>
      <c r="F330">
        <v>331</v>
      </c>
      <c r="G330">
        <f t="shared" si="35"/>
        <v>343578</v>
      </c>
      <c r="H330" t="s">
        <v>71</v>
      </c>
      <c r="J330" s="9">
        <v>45332</v>
      </c>
      <c r="K330" t="s">
        <v>40</v>
      </c>
      <c r="L330" t="s">
        <v>24</v>
      </c>
      <c r="M330" t="str">
        <f t="shared" si="36"/>
        <v>Public Sector</v>
      </c>
      <c r="N330" t="str">
        <f t="shared" si="37"/>
        <v>Small Order</v>
      </c>
      <c r="O330">
        <f t="shared" si="38"/>
        <v>79022.94</v>
      </c>
      <c r="P330">
        <f t="shared" si="39"/>
        <v>0</v>
      </c>
      <c r="Q330" t="b">
        <f t="shared" si="40"/>
        <v>0</v>
      </c>
      <c r="R330">
        <f t="shared" si="41"/>
        <v>0</v>
      </c>
      <c r="S330" s="14">
        <f>_xlfn.XLOOKUP(B330,Summary!$C$10:$C$15,Summary!$B$10:$B$15)</f>
        <v>0.24</v>
      </c>
      <c r="T330">
        <f>IF(AND(H330="Yes",L330&lt;&gt;"Government"),G330*(_xlfn.XLOOKUP(B330,Summary!$C$10:$C$15,Summary!$B$10:$B$15)),0)</f>
        <v>0</v>
      </c>
    </row>
    <row r="331" spans="1:20" x14ac:dyDescent="0.25">
      <c r="A331">
        <v>46587</v>
      </c>
      <c r="B331" t="s">
        <v>32</v>
      </c>
      <c r="C331" t="s">
        <v>37</v>
      </c>
      <c r="D331" s="11">
        <v>1221</v>
      </c>
      <c r="E331">
        <v>250.75</v>
      </c>
      <c r="F331">
        <v>374</v>
      </c>
      <c r="G331">
        <f t="shared" si="35"/>
        <v>456654</v>
      </c>
      <c r="H331" t="s">
        <v>71</v>
      </c>
      <c r="J331" s="9">
        <v>45259</v>
      </c>
      <c r="K331" t="s">
        <v>40</v>
      </c>
      <c r="L331" t="s">
        <v>34</v>
      </c>
      <c r="M331" t="str">
        <f t="shared" si="36"/>
        <v>Private Industry</v>
      </c>
      <c r="N331" t="str">
        <f t="shared" si="37"/>
        <v>Small Order</v>
      </c>
      <c r="O331">
        <f t="shared" si="38"/>
        <v>105030.42</v>
      </c>
      <c r="P331">
        <f t="shared" si="39"/>
        <v>105030.42</v>
      </c>
      <c r="Q331" t="b">
        <f t="shared" si="40"/>
        <v>1</v>
      </c>
      <c r="R331">
        <f t="shared" si="41"/>
        <v>105030.42</v>
      </c>
      <c r="S331" s="14">
        <f>_xlfn.XLOOKUP(B331,Summary!$C$10:$C$15,Summary!$B$10:$B$15)</f>
        <v>0.23</v>
      </c>
      <c r="T331">
        <f>IF(AND(H331="Yes",L331&lt;&gt;"Government"),G331*(_xlfn.XLOOKUP(B331,Summary!$C$10:$C$15,Summary!$B$10:$B$15)),0)</f>
        <v>105030.42</v>
      </c>
    </row>
    <row r="332" spans="1:20" x14ac:dyDescent="0.25">
      <c r="A332">
        <v>99984</v>
      </c>
      <c r="B332" t="s">
        <v>42</v>
      </c>
      <c r="C332" t="s">
        <v>35</v>
      </c>
      <c r="D332" s="11">
        <v>905</v>
      </c>
      <c r="E332">
        <v>10.01</v>
      </c>
      <c r="F332">
        <v>12</v>
      </c>
      <c r="G332">
        <f t="shared" si="35"/>
        <v>10860</v>
      </c>
      <c r="H332" t="s">
        <v>72</v>
      </c>
      <c r="J332" s="9">
        <v>45317</v>
      </c>
      <c r="K332" t="s">
        <v>41</v>
      </c>
      <c r="L332" t="s">
        <v>24</v>
      </c>
      <c r="M332" t="str">
        <f t="shared" si="36"/>
        <v>Public Sector</v>
      </c>
      <c r="N332" t="str">
        <f t="shared" si="37"/>
        <v>Small Order</v>
      </c>
      <c r="O332">
        <f t="shared" si="38"/>
        <v>0</v>
      </c>
      <c r="P332">
        <f t="shared" si="39"/>
        <v>0</v>
      </c>
      <c r="Q332" t="b">
        <f t="shared" si="40"/>
        <v>0</v>
      </c>
      <c r="R332">
        <f t="shared" si="41"/>
        <v>0</v>
      </c>
      <c r="S332" s="14">
        <f>_xlfn.XLOOKUP(B332,Summary!$C$10:$C$15,Summary!$B$10:$B$15)</f>
        <v>0.24</v>
      </c>
      <c r="T332">
        <f>IF(AND(H332="Yes",L332&lt;&gt;"Government"),G332*(_xlfn.XLOOKUP(B332,Summary!$C$10:$C$15,Summary!$B$10:$B$15)),0)</f>
        <v>0</v>
      </c>
    </row>
    <row r="333" spans="1:20" x14ac:dyDescent="0.25">
      <c r="A333">
        <v>45405</v>
      </c>
      <c r="B333" t="s">
        <v>27</v>
      </c>
      <c r="C333" t="s">
        <v>38</v>
      </c>
      <c r="D333" s="11">
        <v>1686</v>
      </c>
      <c r="E333">
        <v>260.68</v>
      </c>
      <c r="F333">
        <v>389</v>
      </c>
      <c r="G333">
        <f t="shared" si="35"/>
        <v>655854</v>
      </c>
      <c r="H333" t="s">
        <v>71</v>
      </c>
      <c r="J333" s="9">
        <v>45576</v>
      </c>
      <c r="K333" t="s">
        <v>26</v>
      </c>
      <c r="L333" t="s">
        <v>24</v>
      </c>
      <c r="M333" t="str">
        <f t="shared" si="36"/>
        <v>Public Sector</v>
      </c>
      <c r="N333" t="str">
        <f t="shared" si="37"/>
        <v>Large Order</v>
      </c>
      <c r="O333">
        <f t="shared" si="38"/>
        <v>150846.42000000001</v>
      </c>
      <c r="P333">
        <f t="shared" si="39"/>
        <v>0</v>
      </c>
      <c r="Q333" t="b">
        <f t="shared" si="40"/>
        <v>0</v>
      </c>
      <c r="R333">
        <f t="shared" si="41"/>
        <v>0</v>
      </c>
      <c r="S333" s="14">
        <f>_xlfn.XLOOKUP(B333,Summary!$C$10:$C$15,Summary!$B$10:$B$15)</f>
        <v>0.19</v>
      </c>
      <c r="T333">
        <f>IF(AND(H333="Yes",L333&lt;&gt;"Government"),G333*(_xlfn.XLOOKUP(B333,Summary!$C$10:$C$15,Summary!$B$10:$B$15)),0)</f>
        <v>0</v>
      </c>
    </row>
    <row r="334" spans="1:20" x14ac:dyDescent="0.25">
      <c r="A334">
        <v>55212</v>
      </c>
      <c r="B334" t="s">
        <v>29</v>
      </c>
      <c r="C334" t="s">
        <v>30</v>
      </c>
      <c r="D334" s="11">
        <v>1757</v>
      </c>
      <c r="E334">
        <v>5.26</v>
      </c>
      <c r="F334">
        <v>7</v>
      </c>
      <c r="G334">
        <f t="shared" si="35"/>
        <v>12299</v>
      </c>
      <c r="H334" t="s">
        <v>71</v>
      </c>
      <c r="J334" s="9">
        <v>45393</v>
      </c>
      <c r="K334" t="s">
        <v>40</v>
      </c>
      <c r="L334" t="s">
        <v>24</v>
      </c>
      <c r="M334" t="str">
        <f t="shared" si="36"/>
        <v>Public Sector</v>
      </c>
      <c r="N334" t="str">
        <f t="shared" si="37"/>
        <v>Large Order</v>
      </c>
      <c r="O334">
        <f t="shared" si="38"/>
        <v>2828.77</v>
      </c>
      <c r="P334">
        <f t="shared" si="39"/>
        <v>0</v>
      </c>
      <c r="Q334" t="b">
        <f t="shared" si="40"/>
        <v>0</v>
      </c>
      <c r="R334">
        <f t="shared" si="41"/>
        <v>0</v>
      </c>
      <c r="S334" s="14">
        <f>_xlfn.XLOOKUP(B334,Summary!$C$10:$C$15,Summary!$B$10:$B$15)</f>
        <v>0.22</v>
      </c>
      <c r="T334">
        <f>IF(AND(H334="Yes",L334&lt;&gt;"Government"),G334*(_xlfn.XLOOKUP(B334,Summary!$C$10:$C$15,Summary!$B$10:$B$15)),0)</f>
        <v>0</v>
      </c>
    </row>
    <row r="335" spans="1:20" x14ac:dyDescent="0.25">
      <c r="A335">
        <v>63231</v>
      </c>
      <c r="B335" t="s">
        <v>32</v>
      </c>
      <c r="C335" t="s">
        <v>36</v>
      </c>
      <c r="D335" s="11">
        <v>790</v>
      </c>
      <c r="E335">
        <v>120.81</v>
      </c>
      <c r="F335">
        <v>131</v>
      </c>
      <c r="G335">
        <f t="shared" si="35"/>
        <v>103490</v>
      </c>
      <c r="H335" t="s">
        <v>71</v>
      </c>
      <c r="J335" s="9">
        <v>45660</v>
      </c>
      <c r="K335" t="s">
        <v>41</v>
      </c>
      <c r="L335" t="s">
        <v>28</v>
      </c>
      <c r="M335" t="str">
        <f t="shared" si="36"/>
        <v>Private Industry</v>
      </c>
      <c r="N335" t="str">
        <f t="shared" si="37"/>
        <v>Small Order</v>
      </c>
      <c r="O335">
        <f t="shared" si="38"/>
        <v>23802.7</v>
      </c>
      <c r="P335">
        <f t="shared" si="39"/>
        <v>23802.7</v>
      </c>
      <c r="Q335" t="b">
        <f t="shared" si="40"/>
        <v>1</v>
      </c>
      <c r="R335">
        <f t="shared" si="41"/>
        <v>23802.7</v>
      </c>
      <c r="S335" s="14">
        <f>_xlfn.XLOOKUP(B335,Summary!$C$10:$C$15,Summary!$B$10:$B$15)</f>
        <v>0.23</v>
      </c>
      <c r="T335">
        <f>IF(AND(H335="Yes",L335&lt;&gt;"Government"),G335*(_xlfn.XLOOKUP(B335,Summary!$C$10:$C$15,Summary!$B$10:$B$15)),0)</f>
        <v>23802.7</v>
      </c>
    </row>
    <row r="336" spans="1:20" x14ac:dyDescent="0.25">
      <c r="A336">
        <v>73642</v>
      </c>
      <c r="B336" t="s">
        <v>44</v>
      </c>
      <c r="C336" t="s">
        <v>25</v>
      </c>
      <c r="D336" s="11">
        <v>2299</v>
      </c>
      <c r="E336">
        <v>3.81</v>
      </c>
      <c r="F336">
        <v>6</v>
      </c>
      <c r="G336">
        <f t="shared" si="35"/>
        <v>13794</v>
      </c>
      <c r="H336" t="s">
        <v>71</v>
      </c>
      <c r="J336" s="9">
        <v>45302</v>
      </c>
      <c r="K336" t="s">
        <v>40</v>
      </c>
      <c r="L336" t="s">
        <v>31</v>
      </c>
      <c r="M336" t="str">
        <f t="shared" si="36"/>
        <v>Private Industry</v>
      </c>
      <c r="N336" t="str">
        <f t="shared" si="37"/>
        <v>Large Order</v>
      </c>
      <c r="O336">
        <f t="shared" si="38"/>
        <v>3172.6200000000003</v>
      </c>
      <c r="P336">
        <f t="shared" si="39"/>
        <v>3172.6200000000003</v>
      </c>
      <c r="Q336" t="b">
        <f t="shared" si="40"/>
        <v>1</v>
      </c>
      <c r="R336">
        <f t="shared" si="41"/>
        <v>3172.6200000000003</v>
      </c>
      <c r="S336" s="14">
        <f>_xlfn.XLOOKUP(B336,Summary!$C$10:$C$15,Summary!$B$10:$B$15)</f>
        <v>0.2</v>
      </c>
      <c r="T336">
        <f>IF(AND(H336="Yes",L336&lt;&gt;"Government"),G336*(_xlfn.XLOOKUP(B336,Summary!$C$10:$C$15,Summary!$B$10:$B$15)),0)</f>
        <v>2758.8</v>
      </c>
    </row>
    <row r="337" spans="1:20" x14ac:dyDescent="0.25">
      <c r="A337">
        <v>60906</v>
      </c>
      <c r="B337" t="s">
        <v>29</v>
      </c>
      <c r="C337" t="s">
        <v>36</v>
      </c>
      <c r="D337" s="11">
        <v>1033</v>
      </c>
      <c r="E337">
        <v>120.79</v>
      </c>
      <c r="F337">
        <v>138</v>
      </c>
      <c r="G337">
        <f t="shared" si="35"/>
        <v>142554</v>
      </c>
      <c r="H337" t="s">
        <v>72</v>
      </c>
      <c r="J337" s="9">
        <v>45700</v>
      </c>
      <c r="K337" t="s">
        <v>40</v>
      </c>
      <c r="L337" t="s">
        <v>24</v>
      </c>
      <c r="M337" t="str">
        <f t="shared" si="36"/>
        <v>Public Sector</v>
      </c>
      <c r="N337" t="str">
        <f t="shared" si="37"/>
        <v>Small Order</v>
      </c>
      <c r="O337">
        <f t="shared" si="38"/>
        <v>0</v>
      </c>
      <c r="P337">
        <f t="shared" si="39"/>
        <v>0</v>
      </c>
      <c r="Q337" t="b">
        <f t="shared" si="40"/>
        <v>0</v>
      </c>
      <c r="R337">
        <f t="shared" si="41"/>
        <v>0</v>
      </c>
      <c r="S337" s="14">
        <f>_xlfn.XLOOKUP(B337,Summary!$C$10:$C$15,Summary!$B$10:$B$15)</f>
        <v>0.22</v>
      </c>
      <c r="T337">
        <f>IF(AND(H337="Yes",L337&lt;&gt;"Government"),G337*(_xlfn.XLOOKUP(B337,Summary!$C$10:$C$15,Summary!$B$10:$B$15)),0)</f>
        <v>0</v>
      </c>
    </row>
    <row r="338" spans="1:20" x14ac:dyDescent="0.25">
      <c r="A338">
        <v>20993</v>
      </c>
      <c r="B338" t="s">
        <v>27</v>
      </c>
      <c r="C338" t="s">
        <v>30</v>
      </c>
      <c r="D338" s="11">
        <v>2500</v>
      </c>
      <c r="E338">
        <v>5.54</v>
      </c>
      <c r="F338">
        <v>8</v>
      </c>
      <c r="G338">
        <f t="shared" si="35"/>
        <v>20000</v>
      </c>
      <c r="H338" t="s">
        <v>72</v>
      </c>
      <c r="J338" s="9">
        <v>45538</v>
      </c>
      <c r="K338" t="s">
        <v>40</v>
      </c>
      <c r="L338" t="s">
        <v>33</v>
      </c>
      <c r="M338" t="str">
        <f t="shared" si="36"/>
        <v>Private Industry</v>
      </c>
      <c r="N338" t="str">
        <f t="shared" si="37"/>
        <v>Large Order</v>
      </c>
      <c r="O338">
        <f t="shared" si="38"/>
        <v>0</v>
      </c>
      <c r="P338">
        <f t="shared" si="39"/>
        <v>0</v>
      </c>
      <c r="Q338" t="b">
        <f t="shared" si="40"/>
        <v>0</v>
      </c>
      <c r="R338">
        <f t="shared" si="41"/>
        <v>0</v>
      </c>
      <c r="S338" s="14">
        <f>_xlfn.XLOOKUP(B338,Summary!$C$10:$C$15,Summary!$B$10:$B$15)</f>
        <v>0.19</v>
      </c>
      <c r="T338">
        <f>IF(AND(H338="Yes",L338&lt;&gt;"Government"),G338*(_xlfn.XLOOKUP(B338,Summary!$C$10:$C$15,Summary!$B$10:$B$15)),0)</f>
        <v>0</v>
      </c>
    </row>
    <row r="339" spans="1:20" x14ac:dyDescent="0.25">
      <c r="A339">
        <v>64882</v>
      </c>
      <c r="B339" t="s">
        <v>44</v>
      </c>
      <c r="C339" t="s">
        <v>35</v>
      </c>
      <c r="D339" s="11">
        <v>2104</v>
      </c>
      <c r="E339">
        <v>10.61</v>
      </c>
      <c r="F339">
        <v>15</v>
      </c>
      <c r="G339">
        <f t="shared" si="35"/>
        <v>31560</v>
      </c>
      <c r="H339" t="s">
        <v>71</v>
      </c>
      <c r="J339" s="9">
        <v>45117</v>
      </c>
      <c r="K339" t="s">
        <v>41</v>
      </c>
      <c r="L339" t="s">
        <v>24</v>
      </c>
      <c r="M339" t="str">
        <f t="shared" si="36"/>
        <v>Public Sector</v>
      </c>
      <c r="N339" t="str">
        <f t="shared" si="37"/>
        <v>Large Order</v>
      </c>
      <c r="O339">
        <f t="shared" si="38"/>
        <v>7258.8</v>
      </c>
      <c r="P339">
        <f t="shared" si="39"/>
        <v>0</v>
      </c>
      <c r="Q339" t="b">
        <f t="shared" si="40"/>
        <v>0</v>
      </c>
      <c r="R339">
        <f t="shared" si="41"/>
        <v>0</v>
      </c>
      <c r="S339" s="14">
        <f>_xlfn.XLOOKUP(B339,Summary!$C$10:$C$15,Summary!$B$10:$B$15)</f>
        <v>0.2</v>
      </c>
      <c r="T339">
        <f>IF(AND(H339="Yes",L339&lt;&gt;"Government"),G339*(_xlfn.XLOOKUP(B339,Summary!$C$10:$C$15,Summary!$B$10:$B$15)),0)</f>
        <v>0</v>
      </c>
    </row>
    <row r="340" spans="1:20" x14ac:dyDescent="0.25">
      <c r="A340">
        <v>78263</v>
      </c>
      <c r="B340" t="s">
        <v>29</v>
      </c>
      <c r="C340" t="s">
        <v>36</v>
      </c>
      <c r="D340" s="11">
        <v>2177</v>
      </c>
      <c r="E340">
        <v>120.14</v>
      </c>
      <c r="F340">
        <v>176</v>
      </c>
      <c r="G340">
        <f t="shared" si="35"/>
        <v>383152</v>
      </c>
      <c r="H340" t="s">
        <v>72</v>
      </c>
      <c r="J340" s="9">
        <v>45418</v>
      </c>
      <c r="K340" t="s">
        <v>39</v>
      </c>
      <c r="L340" t="s">
        <v>24</v>
      </c>
      <c r="M340" t="str">
        <f t="shared" si="36"/>
        <v>Public Sector</v>
      </c>
      <c r="N340" t="str">
        <f t="shared" si="37"/>
        <v>Large Order</v>
      </c>
      <c r="O340">
        <f t="shared" si="38"/>
        <v>0</v>
      </c>
      <c r="P340">
        <f t="shared" si="39"/>
        <v>0</v>
      </c>
      <c r="Q340" t="b">
        <f t="shared" si="40"/>
        <v>0</v>
      </c>
      <c r="R340">
        <f t="shared" si="41"/>
        <v>0</v>
      </c>
      <c r="S340" s="14">
        <f>_xlfn.XLOOKUP(B340,Summary!$C$10:$C$15,Summary!$B$10:$B$15)</f>
        <v>0.22</v>
      </c>
      <c r="T340">
        <f>IF(AND(H340="Yes",L340&lt;&gt;"Government"),G340*(_xlfn.XLOOKUP(B340,Summary!$C$10:$C$15,Summary!$B$10:$B$15)),0)</f>
        <v>0</v>
      </c>
    </row>
    <row r="341" spans="1:20" x14ac:dyDescent="0.25">
      <c r="A341">
        <v>97775</v>
      </c>
      <c r="B341" t="s">
        <v>43</v>
      </c>
      <c r="C341" t="s">
        <v>25</v>
      </c>
      <c r="D341" s="11">
        <v>2567</v>
      </c>
      <c r="E341">
        <v>3.54</v>
      </c>
      <c r="F341">
        <v>6</v>
      </c>
      <c r="G341">
        <f t="shared" si="35"/>
        <v>15402</v>
      </c>
      <c r="H341" t="s">
        <v>72</v>
      </c>
      <c r="J341" s="9">
        <v>45144</v>
      </c>
      <c r="K341" t="s">
        <v>41</v>
      </c>
      <c r="L341" t="s">
        <v>28</v>
      </c>
      <c r="M341" t="str">
        <f t="shared" si="36"/>
        <v>Private Industry</v>
      </c>
      <c r="N341" t="str">
        <f t="shared" si="37"/>
        <v>Large Order</v>
      </c>
      <c r="O341">
        <f t="shared" si="38"/>
        <v>0</v>
      </c>
      <c r="P341">
        <f t="shared" si="39"/>
        <v>0</v>
      </c>
      <c r="Q341" t="b">
        <f t="shared" si="40"/>
        <v>0</v>
      </c>
      <c r="R341">
        <f t="shared" si="41"/>
        <v>0</v>
      </c>
      <c r="S341" s="14">
        <f>_xlfn.XLOOKUP(B341,Summary!$C$10:$C$15,Summary!$B$10:$B$15)</f>
        <v>0.21</v>
      </c>
      <c r="T341">
        <f>IF(AND(H341="Yes",L341&lt;&gt;"Government"),G341*(_xlfn.XLOOKUP(B341,Summary!$C$10:$C$15,Summary!$B$10:$B$15)),0)</f>
        <v>0</v>
      </c>
    </row>
    <row r="342" spans="1:20" x14ac:dyDescent="0.25">
      <c r="A342">
        <v>54481</v>
      </c>
      <c r="B342" t="s">
        <v>29</v>
      </c>
      <c r="C342" t="s">
        <v>30</v>
      </c>
      <c r="D342" s="11">
        <v>544</v>
      </c>
      <c r="E342">
        <v>5.52</v>
      </c>
      <c r="F342">
        <v>8</v>
      </c>
      <c r="G342">
        <f t="shared" si="35"/>
        <v>4352</v>
      </c>
      <c r="H342" t="s">
        <v>72</v>
      </c>
      <c r="J342" s="9">
        <v>45296</v>
      </c>
      <c r="K342" t="s">
        <v>39</v>
      </c>
      <c r="L342" t="s">
        <v>24</v>
      </c>
      <c r="M342" t="str">
        <f t="shared" si="36"/>
        <v>Public Sector</v>
      </c>
      <c r="N342" t="str">
        <f t="shared" si="37"/>
        <v>Small Order</v>
      </c>
      <c r="O342">
        <f t="shared" si="38"/>
        <v>0</v>
      </c>
      <c r="P342">
        <f t="shared" si="39"/>
        <v>0</v>
      </c>
      <c r="Q342" t="b">
        <f t="shared" si="40"/>
        <v>0</v>
      </c>
      <c r="R342">
        <f t="shared" si="41"/>
        <v>0</v>
      </c>
      <c r="S342" s="14">
        <f>_xlfn.XLOOKUP(B342,Summary!$C$10:$C$15,Summary!$B$10:$B$15)</f>
        <v>0.22</v>
      </c>
      <c r="T342">
        <f>IF(AND(H342="Yes",L342&lt;&gt;"Government"),G342*(_xlfn.XLOOKUP(B342,Summary!$C$10:$C$15,Summary!$B$10:$B$15)),0)</f>
        <v>0</v>
      </c>
    </row>
    <row r="343" spans="1:20" x14ac:dyDescent="0.25">
      <c r="A343">
        <v>74144</v>
      </c>
      <c r="B343" t="s">
        <v>27</v>
      </c>
      <c r="C343" t="s">
        <v>35</v>
      </c>
      <c r="D343" s="11">
        <v>1006</v>
      </c>
      <c r="E343">
        <v>10.8</v>
      </c>
      <c r="F343">
        <v>12</v>
      </c>
      <c r="G343">
        <f t="shared" si="35"/>
        <v>12072</v>
      </c>
      <c r="H343" t="s">
        <v>71</v>
      </c>
      <c r="J343" s="9">
        <v>45165</v>
      </c>
      <c r="K343" t="s">
        <v>26</v>
      </c>
      <c r="L343" t="s">
        <v>24</v>
      </c>
      <c r="M343" t="str">
        <f t="shared" si="36"/>
        <v>Public Sector</v>
      </c>
      <c r="N343" t="str">
        <f t="shared" si="37"/>
        <v>Small Order</v>
      </c>
      <c r="O343">
        <f t="shared" si="38"/>
        <v>2776.56</v>
      </c>
      <c r="P343">
        <f t="shared" si="39"/>
        <v>0</v>
      </c>
      <c r="Q343" t="b">
        <f t="shared" si="40"/>
        <v>0</v>
      </c>
      <c r="R343">
        <f t="shared" si="41"/>
        <v>0</v>
      </c>
      <c r="S343" s="14">
        <f>_xlfn.XLOOKUP(B343,Summary!$C$10:$C$15,Summary!$B$10:$B$15)</f>
        <v>0.19</v>
      </c>
      <c r="T343">
        <f>IF(AND(H343="Yes",L343&lt;&gt;"Government"),G343*(_xlfn.XLOOKUP(B343,Summary!$C$10:$C$15,Summary!$B$10:$B$15)),0)</f>
        <v>0</v>
      </c>
    </row>
    <row r="344" spans="1:20" x14ac:dyDescent="0.25">
      <c r="A344">
        <v>68950</v>
      </c>
      <c r="B344" t="s">
        <v>29</v>
      </c>
      <c r="C344" t="s">
        <v>36</v>
      </c>
      <c r="D344" s="11">
        <v>2826</v>
      </c>
      <c r="E344">
        <v>120.4</v>
      </c>
      <c r="F344">
        <v>164</v>
      </c>
      <c r="G344">
        <f t="shared" si="35"/>
        <v>463464</v>
      </c>
      <c r="H344" t="s">
        <v>72</v>
      </c>
      <c r="J344" s="9">
        <v>45579</v>
      </c>
      <c r="K344" t="s">
        <v>41</v>
      </c>
      <c r="L344" t="s">
        <v>28</v>
      </c>
      <c r="M344" t="str">
        <f t="shared" si="36"/>
        <v>Private Industry</v>
      </c>
      <c r="N344" t="str">
        <f t="shared" si="37"/>
        <v>Large Order</v>
      </c>
      <c r="O344">
        <f t="shared" si="38"/>
        <v>0</v>
      </c>
      <c r="P344">
        <f t="shared" si="39"/>
        <v>0</v>
      </c>
      <c r="Q344" t="b">
        <f t="shared" si="40"/>
        <v>0</v>
      </c>
      <c r="R344">
        <f t="shared" si="41"/>
        <v>0</v>
      </c>
      <c r="S344" s="14">
        <f>_xlfn.XLOOKUP(B344,Summary!$C$10:$C$15,Summary!$B$10:$B$15)</f>
        <v>0.22</v>
      </c>
      <c r="T344">
        <f>IF(AND(H344="Yes",L344&lt;&gt;"Government"),G344*(_xlfn.XLOOKUP(B344,Summary!$C$10:$C$15,Summary!$B$10:$B$15)),0)</f>
        <v>0</v>
      </c>
    </row>
    <row r="345" spans="1:20" x14ac:dyDescent="0.25">
      <c r="A345">
        <v>98748</v>
      </c>
      <c r="B345" t="s">
        <v>32</v>
      </c>
      <c r="C345" t="s">
        <v>30</v>
      </c>
      <c r="D345" s="11">
        <v>2313</v>
      </c>
      <c r="E345">
        <v>5.09</v>
      </c>
      <c r="F345">
        <v>8</v>
      </c>
      <c r="G345">
        <f t="shared" si="35"/>
        <v>18504</v>
      </c>
      <c r="H345" t="s">
        <v>71</v>
      </c>
      <c r="J345" s="9">
        <v>45150</v>
      </c>
      <c r="K345" t="s">
        <v>41</v>
      </c>
      <c r="L345" t="s">
        <v>24</v>
      </c>
      <c r="M345" t="str">
        <f t="shared" si="36"/>
        <v>Public Sector</v>
      </c>
      <c r="N345" t="str">
        <f t="shared" si="37"/>
        <v>Large Order</v>
      </c>
      <c r="O345">
        <f t="shared" si="38"/>
        <v>4255.92</v>
      </c>
      <c r="P345">
        <f t="shared" si="39"/>
        <v>0</v>
      </c>
      <c r="Q345" t="b">
        <f t="shared" si="40"/>
        <v>0</v>
      </c>
      <c r="R345">
        <f t="shared" si="41"/>
        <v>0</v>
      </c>
      <c r="S345" s="14">
        <f>_xlfn.XLOOKUP(B345,Summary!$C$10:$C$15,Summary!$B$10:$B$15)</f>
        <v>0.23</v>
      </c>
      <c r="T345">
        <f>IF(AND(H345="Yes",L345&lt;&gt;"Government"),G345*(_xlfn.XLOOKUP(B345,Summary!$C$10:$C$15,Summary!$B$10:$B$15)),0)</f>
        <v>0</v>
      </c>
    </row>
    <row r="346" spans="1:20" x14ac:dyDescent="0.25">
      <c r="A346">
        <v>49640</v>
      </c>
      <c r="B346" t="s">
        <v>43</v>
      </c>
      <c r="C346" t="s">
        <v>25</v>
      </c>
      <c r="D346" s="11">
        <v>1947</v>
      </c>
      <c r="E346">
        <v>3.75</v>
      </c>
      <c r="F346">
        <v>5</v>
      </c>
      <c r="G346">
        <f t="shared" si="35"/>
        <v>9735</v>
      </c>
      <c r="H346" t="s">
        <v>72</v>
      </c>
      <c r="J346" s="9">
        <v>45266</v>
      </c>
      <c r="K346" t="s">
        <v>39</v>
      </c>
      <c r="L346" t="s">
        <v>31</v>
      </c>
      <c r="M346" t="str">
        <f t="shared" si="36"/>
        <v>Private Industry</v>
      </c>
      <c r="N346" t="str">
        <f t="shared" si="37"/>
        <v>Large Order</v>
      </c>
      <c r="O346">
        <f t="shared" si="38"/>
        <v>0</v>
      </c>
      <c r="P346">
        <f t="shared" si="39"/>
        <v>0</v>
      </c>
      <c r="Q346" t="b">
        <f t="shared" si="40"/>
        <v>0</v>
      </c>
      <c r="R346">
        <f t="shared" si="41"/>
        <v>0</v>
      </c>
      <c r="S346" s="14">
        <f>_xlfn.XLOOKUP(B346,Summary!$C$10:$C$15,Summary!$B$10:$B$15)</f>
        <v>0.21</v>
      </c>
      <c r="T346">
        <f>IF(AND(H346="Yes",L346&lt;&gt;"Government"),G346*(_xlfn.XLOOKUP(B346,Summary!$C$10:$C$15,Summary!$B$10:$B$15)),0)</f>
        <v>0</v>
      </c>
    </row>
    <row r="347" spans="1:20" x14ac:dyDescent="0.25">
      <c r="A347">
        <v>78170</v>
      </c>
      <c r="B347" t="s">
        <v>42</v>
      </c>
      <c r="C347" t="s">
        <v>35</v>
      </c>
      <c r="D347" s="11">
        <v>380</v>
      </c>
      <c r="E347">
        <v>10.1</v>
      </c>
      <c r="F347">
        <v>12</v>
      </c>
      <c r="G347">
        <f t="shared" si="35"/>
        <v>4560</v>
      </c>
      <c r="H347" t="s">
        <v>72</v>
      </c>
      <c r="J347" s="9">
        <v>45321</v>
      </c>
      <c r="K347" t="s">
        <v>41</v>
      </c>
      <c r="L347" t="s">
        <v>28</v>
      </c>
      <c r="M347" t="str">
        <f t="shared" si="36"/>
        <v>Private Industry</v>
      </c>
      <c r="N347" t="str">
        <f t="shared" si="37"/>
        <v>Small Order</v>
      </c>
      <c r="O347">
        <f t="shared" si="38"/>
        <v>0</v>
      </c>
      <c r="P347">
        <f t="shared" si="39"/>
        <v>0</v>
      </c>
      <c r="Q347" t="b">
        <f t="shared" si="40"/>
        <v>0</v>
      </c>
      <c r="R347">
        <f t="shared" si="41"/>
        <v>0</v>
      </c>
      <c r="S347" s="14">
        <f>_xlfn.XLOOKUP(B347,Summary!$C$10:$C$15,Summary!$B$10:$B$15)</f>
        <v>0.24</v>
      </c>
      <c r="T347">
        <f>IF(AND(H347="Yes",L347&lt;&gt;"Government"),G347*(_xlfn.XLOOKUP(B347,Summary!$C$10:$C$15,Summary!$B$10:$B$15)),0)</f>
        <v>0</v>
      </c>
    </row>
    <row r="348" spans="1:20" x14ac:dyDescent="0.25">
      <c r="A348">
        <v>13326</v>
      </c>
      <c r="B348" t="s">
        <v>32</v>
      </c>
      <c r="C348" t="s">
        <v>37</v>
      </c>
      <c r="D348" s="11">
        <v>2436</v>
      </c>
      <c r="E348">
        <v>250.79</v>
      </c>
      <c r="F348">
        <v>347</v>
      </c>
      <c r="G348">
        <f t="shared" si="35"/>
        <v>845292</v>
      </c>
      <c r="H348" t="s">
        <v>71</v>
      </c>
      <c r="J348" s="9">
        <v>45299</v>
      </c>
      <c r="K348" t="s">
        <v>40</v>
      </c>
      <c r="L348" t="s">
        <v>34</v>
      </c>
      <c r="M348" t="str">
        <f t="shared" si="36"/>
        <v>Private Industry</v>
      </c>
      <c r="N348" t="str">
        <f t="shared" si="37"/>
        <v>Large Order</v>
      </c>
      <c r="O348">
        <f t="shared" si="38"/>
        <v>194417.16</v>
      </c>
      <c r="P348">
        <f t="shared" si="39"/>
        <v>194417.16</v>
      </c>
      <c r="Q348" t="b">
        <f t="shared" si="40"/>
        <v>1</v>
      </c>
      <c r="R348">
        <f t="shared" si="41"/>
        <v>194417.16</v>
      </c>
      <c r="S348" s="14">
        <f>_xlfn.XLOOKUP(B348,Summary!$C$10:$C$15,Summary!$B$10:$B$15)</f>
        <v>0.23</v>
      </c>
      <c r="T348">
        <f>IF(AND(H348="Yes",L348&lt;&gt;"Government"),G348*(_xlfn.XLOOKUP(B348,Summary!$C$10:$C$15,Summary!$B$10:$B$15)),0)</f>
        <v>194417.16</v>
      </c>
    </row>
    <row r="349" spans="1:20" x14ac:dyDescent="0.25">
      <c r="A349">
        <v>16913</v>
      </c>
      <c r="B349" t="s">
        <v>29</v>
      </c>
      <c r="C349" t="s">
        <v>35</v>
      </c>
      <c r="D349" s="11">
        <v>1496</v>
      </c>
      <c r="E349">
        <v>10.46</v>
      </c>
      <c r="F349">
        <v>15</v>
      </c>
      <c r="G349">
        <f t="shared" si="35"/>
        <v>22440</v>
      </c>
      <c r="H349" t="s">
        <v>71</v>
      </c>
      <c r="J349" s="9">
        <v>45392</v>
      </c>
      <c r="K349" t="s">
        <v>40</v>
      </c>
      <c r="L349" t="s">
        <v>24</v>
      </c>
      <c r="M349" t="str">
        <f t="shared" si="36"/>
        <v>Public Sector</v>
      </c>
      <c r="N349" t="str">
        <f t="shared" si="37"/>
        <v>Small Order</v>
      </c>
      <c r="O349">
        <f t="shared" si="38"/>
        <v>5161.2</v>
      </c>
      <c r="P349">
        <f t="shared" si="39"/>
        <v>0</v>
      </c>
      <c r="Q349" t="b">
        <f t="shared" si="40"/>
        <v>0</v>
      </c>
      <c r="R349">
        <f t="shared" si="41"/>
        <v>0</v>
      </c>
      <c r="S349" s="14">
        <f>_xlfn.XLOOKUP(B349,Summary!$C$10:$C$15,Summary!$B$10:$B$15)</f>
        <v>0.22</v>
      </c>
      <c r="T349">
        <f>IF(AND(H349="Yes",L349&lt;&gt;"Government"),G349*(_xlfn.XLOOKUP(B349,Summary!$C$10:$C$15,Summary!$B$10:$B$15)),0)</f>
        <v>0</v>
      </c>
    </row>
    <row r="350" spans="1:20" x14ac:dyDescent="0.25">
      <c r="A350">
        <v>81190</v>
      </c>
      <c r="B350" t="s">
        <v>27</v>
      </c>
      <c r="C350" t="s">
        <v>35</v>
      </c>
      <c r="D350" s="11">
        <v>3513</v>
      </c>
      <c r="E350">
        <v>10.3</v>
      </c>
      <c r="F350">
        <v>15</v>
      </c>
      <c r="G350">
        <f t="shared" si="35"/>
        <v>52695</v>
      </c>
      <c r="H350" t="s">
        <v>71</v>
      </c>
      <c r="J350" s="9">
        <v>45595</v>
      </c>
      <c r="K350" t="s">
        <v>40</v>
      </c>
      <c r="L350" t="s">
        <v>33</v>
      </c>
      <c r="M350" t="str">
        <f t="shared" si="36"/>
        <v>Private Industry</v>
      </c>
      <c r="N350" t="str">
        <f t="shared" si="37"/>
        <v>Large Order</v>
      </c>
      <c r="O350">
        <f t="shared" si="38"/>
        <v>12119.85</v>
      </c>
      <c r="P350">
        <f t="shared" si="39"/>
        <v>12119.85</v>
      </c>
      <c r="Q350" t="b">
        <f t="shared" si="40"/>
        <v>1</v>
      </c>
      <c r="R350">
        <f t="shared" si="41"/>
        <v>12119.85</v>
      </c>
      <c r="S350" s="14">
        <f>_xlfn.XLOOKUP(B350,Summary!$C$10:$C$15,Summary!$B$10:$B$15)</f>
        <v>0.19</v>
      </c>
      <c r="T350">
        <f>IF(AND(H350="Yes",L350&lt;&gt;"Government"),G350*(_xlfn.XLOOKUP(B350,Summary!$C$10:$C$15,Summary!$B$10:$B$15)),0)</f>
        <v>10012.049999999999</v>
      </c>
    </row>
    <row r="351" spans="1:20" x14ac:dyDescent="0.25">
      <c r="A351">
        <v>46336</v>
      </c>
      <c r="B351" t="s">
        <v>32</v>
      </c>
      <c r="C351" t="s">
        <v>36</v>
      </c>
      <c r="D351" s="11">
        <v>2076</v>
      </c>
      <c r="E351">
        <v>120.41</v>
      </c>
      <c r="F351">
        <v>171</v>
      </c>
      <c r="G351">
        <f t="shared" si="35"/>
        <v>354996</v>
      </c>
      <c r="H351" t="s">
        <v>72</v>
      </c>
      <c r="J351" s="9">
        <v>45125</v>
      </c>
      <c r="K351" t="s">
        <v>40</v>
      </c>
      <c r="L351" t="s">
        <v>24</v>
      </c>
      <c r="M351" t="str">
        <f t="shared" si="36"/>
        <v>Public Sector</v>
      </c>
      <c r="N351" t="str">
        <f t="shared" si="37"/>
        <v>Large Order</v>
      </c>
      <c r="O351">
        <f t="shared" si="38"/>
        <v>0</v>
      </c>
      <c r="P351">
        <f t="shared" si="39"/>
        <v>0</v>
      </c>
      <c r="Q351" t="b">
        <f t="shared" si="40"/>
        <v>0</v>
      </c>
      <c r="R351">
        <f t="shared" si="41"/>
        <v>0</v>
      </c>
      <c r="S351" s="14">
        <f>_xlfn.XLOOKUP(B351,Summary!$C$10:$C$15,Summary!$B$10:$B$15)</f>
        <v>0.23</v>
      </c>
      <c r="T351">
        <f>IF(AND(H351="Yes",L351&lt;&gt;"Government"),G351*(_xlfn.XLOOKUP(B351,Summary!$C$10:$C$15,Summary!$B$10:$B$15)),0)</f>
        <v>0</v>
      </c>
    </row>
    <row r="352" spans="1:20" x14ac:dyDescent="0.25">
      <c r="A352">
        <v>25692</v>
      </c>
      <c r="B352" t="s">
        <v>32</v>
      </c>
      <c r="C352" t="s">
        <v>30</v>
      </c>
      <c r="D352" s="11">
        <v>1298</v>
      </c>
      <c r="E352">
        <v>5.54</v>
      </c>
      <c r="F352">
        <v>8</v>
      </c>
      <c r="G352">
        <f t="shared" si="35"/>
        <v>10384</v>
      </c>
      <c r="H352" t="s">
        <v>72</v>
      </c>
      <c r="J352" s="9">
        <v>45235</v>
      </c>
      <c r="K352" t="s">
        <v>41</v>
      </c>
      <c r="L352" t="s">
        <v>24</v>
      </c>
      <c r="M352" t="str">
        <f t="shared" si="36"/>
        <v>Public Sector</v>
      </c>
      <c r="N352" t="str">
        <f t="shared" si="37"/>
        <v>Small Order</v>
      </c>
      <c r="O352">
        <f t="shared" si="38"/>
        <v>0</v>
      </c>
      <c r="P352">
        <f t="shared" si="39"/>
        <v>0</v>
      </c>
      <c r="Q352" t="b">
        <f t="shared" si="40"/>
        <v>0</v>
      </c>
      <c r="R352">
        <f t="shared" si="41"/>
        <v>0</v>
      </c>
      <c r="S352" s="14">
        <f>_xlfn.XLOOKUP(B352,Summary!$C$10:$C$15,Summary!$B$10:$B$15)</f>
        <v>0.23</v>
      </c>
      <c r="T352">
        <f>IF(AND(H352="Yes",L352&lt;&gt;"Government"),G352*(_xlfn.XLOOKUP(B352,Summary!$C$10:$C$15,Summary!$B$10:$B$15)),0)</f>
        <v>0</v>
      </c>
    </row>
    <row r="353" spans="1:20" x14ac:dyDescent="0.25">
      <c r="A353">
        <v>83587</v>
      </c>
      <c r="B353" t="s">
        <v>27</v>
      </c>
      <c r="C353" t="s">
        <v>35</v>
      </c>
      <c r="D353" s="11">
        <v>1728</v>
      </c>
      <c r="E353">
        <v>10.029999999999999</v>
      </c>
      <c r="F353">
        <v>15</v>
      </c>
      <c r="G353">
        <f t="shared" si="35"/>
        <v>25920</v>
      </c>
      <c r="H353" t="s">
        <v>71</v>
      </c>
      <c r="J353" s="9">
        <v>45673</v>
      </c>
      <c r="K353" t="s">
        <v>39</v>
      </c>
      <c r="L353" t="s">
        <v>34</v>
      </c>
      <c r="M353" t="str">
        <f t="shared" si="36"/>
        <v>Private Industry</v>
      </c>
      <c r="N353" t="str">
        <f t="shared" si="37"/>
        <v>Large Order</v>
      </c>
      <c r="O353">
        <f t="shared" si="38"/>
        <v>5961.6</v>
      </c>
      <c r="P353">
        <f t="shared" si="39"/>
        <v>5961.6</v>
      </c>
      <c r="Q353" t="b">
        <f t="shared" si="40"/>
        <v>1</v>
      </c>
      <c r="R353">
        <f t="shared" si="41"/>
        <v>5961.6</v>
      </c>
      <c r="S353" s="14">
        <f>_xlfn.XLOOKUP(B353,Summary!$C$10:$C$15,Summary!$B$10:$B$15)</f>
        <v>0.19</v>
      </c>
      <c r="T353">
        <f>IF(AND(H353="Yes",L353&lt;&gt;"Government"),G353*(_xlfn.XLOOKUP(B353,Summary!$C$10:$C$15,Summary!$B$10:$B$15)),0)</f>
        <v>4924.8</v>
      </c>
    </row>
    <row r="354" spans="1:20" x14ac:dyDescent="0.25">
      <c r="A354">
        <v>43905</v>
      </c>
      <c r="B354" t="s">
        <v>29</v>
      </c>
      <c r="C354" t="s">
        <v>25</v>
      </c>
      <c r="D354" s="11">
        <v>1174</v>
      </c>
      <c r="E354">
        <v>3.51</v>
      </c>
      <c r="F354">
        <v>4</v>
      </c>
      <c r="G354">
        <f t="shared" si="35"/>
        <v>4696</v>
      </c>
      <c r="H354" t="s">
        <v>72</v>
      </c>
      <c r="J354" s="9">
        <v>45581</v>
      </c>
      <c r="K354" t="s">
        <v>41</v>
      </c>
      <c r="L354" t="s">
        <v>33</v>
      </c>
      <c r="M354" t="str">
        <f t="shared" si="36"/>
        <v>Private Industry</v>
      </c>
      <c r="N354" t="str">
        <f t="shared" si="37"/>
        <v>Small Order</v>
      </c>
      <c r="O354">
        <f t="shared" si="38"/>
        <v>0</v>
      </c>
      <c r="P354">
        <f t="shared" si="39"/>
        <v>0</v>
      </c>
      <c r="Q354" t="b">
        <f t="shared" si="40"/>
        <v>0</v>
      </c>
      <c r="R354">
        <f t="shared" si="41"/>
        <v>0</v>
      </c>
      <c r="S354" s="14">
        <f>_xlfn.XLOOKUP(B354,Summary!$C$10:$C$15,Summary!$B$10:$B$15)</f>
        <v>0.22</v>
      </c>
      <c r="T354">
        <f>IF(AND(H354="Yes",L354&lt;&gt;"Government"),G354*(_xlfn.XLOOKUP(B354,Summary!$C$10:$C$15,Summary!$B$10:$B$15)),0)</f>
        <v>0</v>
      </c>
    </row>
    <row r="355" spans="1:20" x14ac:dyDescent="0.25">
      <c r="A355">
        <v>87624</v>
      </c>
      <c r="B355" t="s">
        <v>27</v>
      </c>
      <c r="C355" t="s">
        <v>35</v>
      </c>
      <c r="D355" s="11">
        <v>1259</v>
      </c>
      <c r="E355">
        <v>10.77</v>
      </c>
      <c r="F355">
        <v>13</v>
      </c>
      <c r="G355">
        <f t="shared" si="35"/>
        <v>16367</v>
      </c>
      <c r="H355" t="s">
        <v>72</v>
      </c>
      <c r="J355" s="9">
        <v>45242</v>
      </c>
      <c r="K355" t="s">
        <v>40</v>
      </c>
      <c r="L355" t="s">
        <v>24</v>
      </c>
      <c r="M355" t="str">
        <f t="shared" si="36"/>
        <v>Public Sector</v>
      </c>
      <c r="N355" t="str">
        <f t="shared" si="37"/>
        <v>Small Order</v>
      </c>
      <c r="O355">
        <f t="shared" si="38"/>
        <v>0</v>
      </c>
      <c r="P355">
        <f t="shared" si="39"/>
        <v>0</v>
      </c>
      <c r="Q355" t="b">
        <f t="shared" si="40"/>
        <v>0</v>
      </c>
      <c r="R355">
        <f t="shared" si="41"/>
        <v>0</v>
      </c>
      <c r="S355" s="14">
        <f>_xlfn.XLOOKUP(B355,Summary!$C$10:$C$15,Summary!$B$10:$B$15)</f>
        <v>0.19</v>
      </c>
      <c r="T355">
        <f>IF(AND(H355="Yes",L355&lt;&gt;"Government"),G355*(_xlfn.XLOOKUP(B355,Summary!$C$10:$C$15,Summary!$B$10:$B$15)),0)</f>
        <v>0</v>
      </c>
    </row>
    <row r="356" spans="1:20" x14ac:dyDescent="0.25">
      <c r="A356">
        <v>90754</v>
      </c>
      <c r="B356" t="s">
        <v>42</v>
      </c>
      <c r="C356" t="s">
        <v>37</v>
      </c>
      <c r="D356" s="11">
        <v>641</v>
      </c>
      <c r="E356">
        <v>250.01</v>
      </c>
      <c r="F356">
        <v>313</v>
      </c>
      <c r="G356">
        <f t="shared" si="35"/>
        <v>200633</v>
      </c>
      <c r="H356" t="s">
        <v>71</v>
      </c>
      <c r="J356" s="9">
        <v>45067</v>
      </c>
      <c r="K356" t="s">
        <v>41</v>
      </c>
      <c r="L356" t="s">
        <v>28</v>
      </c>
      <c r="M356" t="str">
        <f t="shared" si="36"/>
        <v>Private Industry</v>
      </c>
      <c r="N356" t="str">
        <f t="shared" si="37"/>
        <v>Small Order</v>
      </c>
      <c r="O356">
        <f t="shared" si="38"/>
        <v>46145.590000000004</v>
      </c>
      <c r="P356">
        <f t="shared" si="39"/>
        <v>46145.590000000004</v>
      </c>
      <c r="Q356" t="b">
        <f t="shared" si="40"/>
        <v>1</v>
      </c>
      <c r="R356">
        <f t="shared" si="41"/>
        <v>46145.590000000004</v>
      </c>
      <c r="S356" s="14">
        <f>_xlfn.XLOOKUP(B356,Summary!$C$10:$C$15,Summary!$B$10:$B$15)</f>
        <v>0.24</v>
      </c>
      <c r="T356">
        <f>IF(AND(H356="Yes",L356&lt;&gt;"Government"),G356*(_xlfn.XLOOKUP(B356,Summary!$C$10:$C$15,Summary!$B$10:$B$15)),0)</f>
        <v>48151.92</v>
      </c>
    </row>
    <row r="357" spans="1:20" x14ac:dyDescent="0.25">
      <c r="A357">
        <v>81976</v>
      </c>
      <c r="B357" t="s">
        <v>42</v>
      </c>
      <c r="C357" t="s">
        <v>35</v>
      </c>
      <c r="D357" s="11">
        <v>2417</v>
      </c>
      <c r="E357">
        <v>10.6</v>
      </c>
      <c r="F357">
        <v>12</v>
      </c>
      <c r="G357">
        <f t="shared" si="35"/>
        <v>29004</v>
      </c>
      <c r="H357" t="s">
        <v>71</v>
      </c>
      <c r="J357" s="9">
        <v>45297</v>
      </c>
      <c r="K357" t="s">
        <v>40</v>
      </c>
      <c r="L357" t="s">
        <v>24</v>
      </c>
      <c r="M357" t="str">
        <f t="shared" si="36"/>
        <v>Public Sector</v>
      </c>
      <c r="N357" t="str">
        <f t="shared" si="37"/>
        <v>Large Order</v>
      </c>
      <c r="O357">
        <f t="shared" si="38"/>
        <v>6670.92</v>
      </c>
      <c r="P357">
        <f t="shared" si="39"/>
        <v>0</v>
      </c>
      <c r="Q357" t="b">
        <f t="shared" si="40"/>
        <v>0</v>
      </c>
      <c r="R357">
        <f t="shared" si="41"/>
        <v>0</v>
      </c>
      <c r="S357" s="14">
        <f>_xlfn.XLOOKUP(B357,Summary!$C$10:$C$15,Summary!$B$10:$B$15)</f>
        <v>0.24</v>
      </c>
      <c r="T357">
        <f>IF(AND(H357="Yes",L357&lt;&gt;"Government"),G357*(_xlfn.XLOOKUP(B357,Summary!$C$10:$C$15,Summary!$B$10:$B$15)),0)</f>
        <v>0</v>
      </c>
    </row>
    <row r="358" spans="1:20" x14ac:dyDescent="0.25">
      <c r="A358">
        <v>76920</v>
      </c>
      <c r="B358" t="s">
        <v>44</v>
      </c>
      <c r="C358" t="s">
        <v>36</v>
      </c>
      <c r="D358" s="11">
        <v>3793</v>
      </c>
      <c r="E358">
        <v>120.22</v>
      </c>
      <c r="F358">
        <v>154</v>
      </c>
      <c r="G358">
        <f t="shared" si="35"/>
        <v>584122</v>
      </c>
      <c r="H358" t="s">
        <v>72</v>
      </c>
      <c r="J358" s="9">
        <v>45387</v>
      </c>
      <c r="K358" t="s">
        <v>40</v>
      </c>
      <c r="L358" t="s">
        <v>34</v>
      </c>
      <c r="M358" t="str">
        <f t="shared" si="36"/>
        <v>Private Industry</v>
      </c>
      <c r="N358" t="str">
        <f t="shared" si="37"/>
        <v>Large Order</v>
      </c>
      <c r="O358">
        <f t="shared" si="38"/>
        <v>0</v>
      </c>
      <c r="P358">
        <f t="shared" si="39"/>
        <v>0</v>
      </c>
      <c r="Q358" t="b">
        <f t="shared" si="40"/>
        <v>0</v>
      </c>
      <c r="R358">
        <f t="shared" si="41"/>
        <v>0</v>
      </c>
      <c r="S358" s="14">
        <f>_xlfn.XLOOKUP(B358,Summary!$C$10:$C$15,Summary!$B$10:$B$15)</f>
        <v>0.2</v>
      </c>
      <c r="T358">
        <f>IF(AND(H358="Yes",L358&lt;&gt;"Government"),G358*(_xlfn.XLOOKUP(B358,Summary!$C$10:$C$15,Summary!$B$10:$B$15)),0)</f>
        <v>0</v>
      </c>
    </row>
    <row r="359" spans="1:20" x14ac:dyDescent="0.25">
      <c r="A359">
        <v>63545</v>
      </c>
      <c r="B359" t="s">
        <v>32</v>
      </c>
      <c r="C359" t="s">
        <v>25</v>
      </c>
      <c r="D359" s="11">
        <v>3445</v>
      </c>
      <c r="E359">
        <v>3.73</v>
      </c>
      <c r="F359">
        <v>5</v>
      </c>
      <c r="G359">
        <f t="shared" si="35"/>
        <v>17225</v>
      </c>
      <c r="H359" t="s">
        <v>71</v>
      </c>
      <c r="J359" s="9">
        <v>45172</v>
      </c>
      <c r="K359" t="s">
        <v>41</v>
      </c>
      <c r="L359" t="s">
        <v>33</v>
      </c>
      <c r="M359" t="str">
        <f t="shared" si="36"/>
        <v>Private Industry</v>
      </c>
      <c r="N359" t="str">
        <f t="shared" si="37"/>
        <v>Large Order</v>
      </c>
      <c r="O359">
        <f t="shared" si="38"/>
        <v>3961.75</v>
      </c>
      <c r="P359">
        <f t="shared" si="39"/>
        <v>3961.75</v>
      </c>
      <c r="Q359" t="b">
        <f t="shared" si="40"/>
        <v>1</v>
      </c>
      <c r="R359">
        <f t="shared" si="41"/>
        <v>3961.75</v>
      </c>
      <c r="S359" s="14">
        <f>_xlfn.XLOOKUP(B359,Summary!$C$10:$C$15,Summary!$B$10:$B$15)</f>
        <v>0.23</v>
      </c>
      <c r="T359">
        <f>IF(AND(H359="Yes",L359&lt;&gt;"Government"),G359*(_xlfn.XLOOKUP(B359,Summary!$C$10:$C$15,Summary!$B$10:$B$15)),0)</f>
        <v>3961.75</v>
      </c>
    </row>
    <row r="360" spans="1:20" x14ac:dyDescent="0.25">
      <c r="A360">
        <v>49680</v>
      </c>
      <c r="B360" t="s">
        <v>32</v>
      </c>
      <c r="C360" t="s">
        <v>30</v>
      </c>
      <c r="D360" s="11">
        <v>663</v>
      </c>
      <c r="E360">
        <v>5.71</v>
      </c>
      <c r="F360">
        <v>8</v>
      </c>
      <c r="G360">
        <f t="shared" si="35"/>
        <v>5304</v>
      </c>
      <c r="H360" t="s">
        <v>72</v>
      </c>
      <c r="J360" s="9">
        <v>45300</v>
      </c>
      <c r="K360" t="s">
        <v>39</v>
      </c>
      <c r="L360" t="s">
        <v>33</v>
      </c>
      <c r="M360" t="str">
        <f t="shared" si="36"/>
        <v>Private Industry</v>
      </c>
      <c r="N360" t="str">
        <f t="shared" si="37"/>
        <v>Small Order</v>
      </c>
      <c r="O360">
        <f t="shared" si="38"/>
        <v>0</v>
      </c>
      <c r="P360">
        <f t="shared" si="39"/>
        <v>0</v>
      </c>
      <c r="Q360" t="b">
        <f t="shared" si="40"/>
        <v>0</v>
      </c>
      <c r="R360">
        <f t="shared" si="41"/>
        <v>0</v>
      </c>
      <c r="S360" s="14">
        <f>_xlfn.XLOOKUP(B360,Summary!$C$10:$C$15,Summary!$B$10:$B$15)</f>
        <v>0.23</v>
      </c>
      <c r="T360">
        <f>IF(AND(H360="Yes",L360&lt;&gt;"Government"),G360*(_xlfn.XLOOKUP(B360,Summary!$C$10:$C$15,Summary!$B$10:$B$15)),0)</f>
        <v>0</v>
      </c>
    </row>
    <row r="361" spans="1:20" x14ac:dyDescent="0.25">
      <c r="A361">
        <v>28691</v>
      </c>
      <c r="B361" t="s">
        <v>42</v>
      </c>
      <c r="C361" t="s">
        <v>35</v>
      </c>
      <c r="D361" s="11">
        <v>2763</v>
      </c>
      <c r="E361">
        <v>10.55</v>
      </c>
      <c r="F361">
        <v>13</v>
      </c>
      <c r="G361">
        <f t="shared" si="35"/>
        <v>35919</v>
      </c>
      <c r="H361" t="s">
        <v>72</v>
      </c>
      <c r="J361" s="9">
        <v>45112</v>
      </c>
      <c r="K361" t="s">
        <v>40</v>
      </c>
      <c r="L361" t="s">
        <v>31</v>
      </c>
      <c r="M361" t="str">
        <f t="shared" si="36"/>
        <v>Private Industry</v>
      </c>
      <c r="N361" t="str">
        <f t="shared" si="37"/>
        <v>Large Order</v>
      </c>
      <c r="O361">
        <f t="shared" si="38"/>
        <v>0</v>
      </c>
      <c r="P361">
        <f t="shared" si="39"/>
        <v>0</v>
      </c>
      <c r="Q361" t="b">
        <f t="shared" si="40"/>
        <v>0</v>
      </c>
      <c r="R361">
        <f t="shared" si="41"/>
        <v>0</v>
      </c>
      <c r="S361" s="14">
        <f>_xlfn.XLOOKUP(B361,Summary!$C$10:$C$15,Summary!$B$10:$B$15)</f>
        <v>0.24</v>
      </c>
      <c r="T361">
        <f>IF(AND(H361="Yes",L361&lt;&gt;"Government"),G361*(_xlfn.XLOOKUP(B361,Summary!$C$10:$C$15,Summary!$B$10:$B$15)),0)</f>
        <v>0</v>
      </c>
    </row>
    <row r="362" spans="1:20" x14ac:dyDescent="0.25">
      <c r="A362">
        <v>64826</v>
      </c>
      <c r="B362" t="s">
        <v>44</v>
      </c>
      <c r="C362" t="s">
        <v>38</v>
      </c>
      <c r="D362" s="11">
        <v>1135</v>
      </c>
      <c r="E362">
        <v>260.27999999999997</v>
      </c>
      <c r="F362">
        <v>334</v>
      </c>
      <c r="G362">
        <f t="shared" si="35"/>
        <v>379090</v>
      </c>
      <c r="H362" t="s">
        <v>72</v>
      </c>
      <c r="J362" s="9">
        <v>45158</v>
      </c>
      <c r="K362" t="s">
        <v>40</v>
      </c>
      <c r="L362" t="s">
        <v>24</v>
      </c>
      <c r="M362" t="str">
        <f t="shared" si="36"/>
        <v>Public Sector</v>
      </c>
      <c r="N362" t="str">
        <f t="shared" si="37"/>
        <v>Small Order</v>
      </c>
      <c r="O362">
        <f t="shared" si="38"/>
        <v>0</v>
      </c>
      <c r="P362">
        <f t="shared" si="39"/>
        <v>0</v>
      </c>
      <c r="Q362" t="b">
        <f t="shared" si="40"/>
        <v>0</v>
      </c>
      <c r="R362">
        <f t="shared" si="41"/>
        <v>0</v>
      </c>
      <c r="S362" s="14">
        <f>_xlfn.XLOOKUP(B362,Summary!$C$10:$C$15,Summary!$B$10:$B$15)</f>
        <v>0.2</v>
      </c>
      <c r="T362">
        <f>IF(AND(H362="Yes",L362&lt;&gt;"Government"),G362*(_xlfn.XLOOKUP(B362,Summary!$C$10:$C$15,Summary!$B$10:$B$15)),0)</f>
        <v>0</v>
      </c>
    </row>
    <row r="363" spans="1:20" x14ac:dyDescent="0.25">
      <c r="A363">
        <v>79449</v>
      </c>
      <c r="B363" t="s">
        <v>44</v>
      </c>
      <c r="C363" t="s">
        <v>38</v>
      </c>
      <c r="D363" s="11">
        <v>1630</v>
      </c>
      <c r="E363">
        <v>260.49</v>
      </c>
      <c r="F363">
        <v>264</v>
      </c>
      <c r="G363">
        <f t="shared" si="35"/>
        <v>430320</v>
      </c>
      <c r="H363" t="s">
        <v>71</v>
      </c>
      <c r="J363" s="9">
        <v>45492</v>
      </c>
      <c r="K363" t="s">
        <v>40</v>
      </c>
      <c r="L363" t="s">
        <v>28</v>
      </c>
      <c r="M363" t="str">
        <f t="shared" si="36"/>
        <v>Private Industry</v>
      </c>
      <c r="N363" t="str">
        <f t="shared" si="37"/>
        <v>Large Order</v>
      </c>
      <c r="O363">
        <f t="shared" si="38"/>
        <v>98973.6</v>
      </c>
      <c r="P363">
        <f t="shared" si="39"/>
        <v>98973.6</v>
      </c>
      <c r="Q363" t="b">
        <f t="shared" si="40"/>
        <v>1</v>
      </c>
      <c r="R363">
        <f t="shared" si="41"/>
        <v>98973.6</v>
      </c>
      <c r="S363" s="14">
        <f>_xlfn.XLOOKUP(B363,Summary!$C$10:$C$15,Summary!$B$10:$B$15)</f>
        <v>0.2</v>
      </c>
      <c r="T363">
        <f>IF(AND(H363="Yes",L363&lt;&gt;"Government"),G363*(_xlfn.XLOOKUP(B363,Summary!$C$10:$C$15,Summary!$B$10:$B$15)),0)</f>
        <v>86064</v>
      </c>
    </row>
    <row r="364" spans="1:20" x14ac:dyDescent="0.25">
      <c r="A364">
        <v>85862</v>
      </c>
      <c r="B364" t="s">
        <v>32</v>
      </c>
      <c r="C364" t="s">
        <v>30</v>
      </c>
      <c r="D364" s="11">
        <v>1857</v>
      </c>
      <c r="E364">
        <v>5.47</v>
      </c>
      <c r="F364">
        <v>8</v>
      </c>
      <c r="G364">
        <f t="shared" si="35"/>
        <v>14856</v>
      </c>
      <c r="H364" t="s">
        <v>72</v>
      </c>
      <c r="J364" s="9">
        <v>45236</v>
      </c>
      <c r="K364" t="s">
        <v>40</v>
      </c>
      <c r="L364" t="s">
        <v>33</v>
      </c>
      <c r="M364" t="str">
        <f t="shared" si="36"/>
        <v>Private Industry</v>
      </c>
      <c r="N364" t="str">
        <f t="shared" si="37"/>
        <v>Large Order</v>
      </c>
      <c r="O364">
        <f t="shared" si="38"/>
        <v>0</v>
      </c>
      <c r="P364">
        <f t="shared" si="39"/>
        <v>0</v>
      </c>
      <c r="Q364" t="b">
        <f t="shared" si="40"/>
        <v>0</v>
      </c>
      <c r="R364">
        <f t="shared" si="41"/>
        <v>0</v>
      </c>
      <c r="S364" s="14">
        <f>_xlfn.XLOOKUP(B364,Summary!$C$10:$C$15,Summary!$B$10:$B$15)</f>
        <v>0.23</v>
      </c>
      <c r="T364">
        <f>IF(AND(H364="Yes",L364&lt;&gt;"Government"),G364*(_xlfn.XLOOKUP(B364,Summary!$C$10:$C$15,Summary!$B$10:$B$15)),0)</f>
        <v>0</v>
      </c>
    </row>
    <row r="365" spans="1:20" x14ac:dyDescent="0.25">
      <c r="A365">
        <v>10651</v>
      </c>
      <c r="B365" t="s">
        <v>44</v>
      </c>
      <c r="C365" t="s">
        <v>30</v>
      </c>
      <c r="D365" s="11">
        <v>200</v>
      </c>
      <c r="E365">
        <v>6</v>
      </c>
      <c r="F365">
        <v>8</v>
      </c>
      <c r="G365">
        <f t="shared" si="35"/>
        <v>1600</v>
      </c>
      <c r="H365" t="s">
        <v>71</v>
      </c>
      <c r="J365" s="9">
        <v>45369</v>
      </c>
      <c r="K365" t="s">
        <v>41</v>
      </c>
      <c r="L365" t="s">
        <v>24</v>
      </c>
      <c r="M365" t="str">
        <f t="shared" si="36"/>
        <v>Public Sector</v>
      </c>
      <c r="N365" t="str">
        <f t="shared" si="37"/>
        <v>Small Order</v>
      </c>
      <c r="O365">
        <f t="shared" si="38"/>
        <v>368</v>
      </c>
      <c r="P365">
        <f t="shared" si="39"/>
        <v>0</v>
      </c>
      <c r="Q365" t="b">
        <f t="shared" si="40"/>
        <v>0</v>
      </c>
      <c r="R365">
        <f t="shared" si="41"/>
        <v>0</v>
      </c>
      <c r="S365" s="14">
        <f>_xlfn.XLOOKUP(B365,Summary!$C$10:$C$15,Summary!$B$10:$B$15)</f>
        <v>0.2</v>
      </c>
      <c r="T365">
        <f>IF(AND(H365="Yes",L365&lt;&gt;"Government"),G365*(_xlfn.XLOOKUP(B365,Summary!$C$10:$C$15,Summary!$B$10:$B$15)),0)</f>
        <v>0</v>
      </c>
    </row>
    <row r="366" spans="1:20" x14ac:dyDescent="0.25">
      <c r="A366">
        <v>14024</v>
      </c>
      <c r="B366" t="s">
        <v>27</v>
      </c>
      <c r="C366" t="s">
        <v>37</v>
      </c>
      <c r="D366" s="11">
        <v>263</v>
      </c>
      <c r="E366">
        <v>250.23</v>
      </c>
      <c r="F366">
        <v>296</v>
      </c>
      <c r="G366">
        <f t="shared" si="35"/>
        <v>77848</v>
      </c>
      <c r="H366" t="s">
        <v>71</v>
      </c>
      <c r="J366" s="9">
        <v>45589</v>
      </c>
      <c r="K366" t="s">
        <v>39</v>
      </c>
      <c r="L366" t="s">
        <v>24</v>
      </c>
      <c r="M366" t="str">
        <f t="shared" si="36"/>
        <v>Public Sector</v>
      </c>
      <c r="N366" t="str">
        <f t="shared" si="37"/>
        <v>Small Order</v>
      </c>
      <c r="O366">
        <f t="shared" si="38"/>
        <v>17905.04</v>
      </c>
      <c r="P366">
        <f t="shared" si="39"/>
        <v>0</v>
      </c>
      <c r="Q366" t="b">
        <f t="shared" si="40"/>
        <v>0</v>
      </c>
      <c r="R366">
        <f t="shared" si="41"/>
        <v>0</v>
      </c>
      <c r="S366" s="14">
        <f>_xlfn.XLOOKUP(B366,Summary!$C$10:$C$15,Summary!$B$10:$B$15)</f>
        <v>0.19</v>
      </c>
      <c r="T366">
        <f>IF(AND(H366="Yes",L366&lt;&gt;"Government"),G366*(_xlfn.XLOOKUP(B366,Summary!$C$10:$C$15,Summary!$B$10:$B$15)),0)</f>
        <v>0</v>
      </c>
    </row>
    <row r="367" spans="1:20" x14ac:dyDescent="0.25">
      <c r="A367">
        <v>71814</v>
      </c>
      <c r="B367" t="s">
        <v>44</v>
      </c>
      <c r="C367" t="s">
        <v>35</v>
      </c>
      <c r="D367" s="11">
        <v>1725</v>
      </c>
      <c r="E367">
        <v>10.130000000000001</v>
      </c>
      <c r="F367">
        <v>11</v>
      </c>
      <c r="G367">
        <f t="shared" si="35"/>
        <v>18975</v>
      </c>
      <c r="H367" t="s">
        <v>72</v>
      </c>
      <c r="J367" s="9">
        <v>45273</v>
      </c>
      <c r="K367" t="s">
        <v>26</v>
      </c>
      <c r="L367" t="s">
        <v>24</v>
      </c>
      <c r="M367" t="str">
        <f t="shared" si="36"/>
        <v>Public Sector</v>
      </c>
      <c r="N367" t="str">
        <f t="shared" si="37"/>
        <v>Large Order</v>
      </c>
      <c r="O367">
        <f t="shared" si="38"/>
        <v>0</v>
      </c>
      <c r="P367">
        <f t="shared" si="39"/>
        <v>0</v>
      </c>
      <c r="Q367" t="b">
        <f t="shared" si="40"/>
        <v>0</v>
      </c>
      <c r="R367">
        <f t="shared" si="41"/>
        <v>0</v>
      </c>
      <c r="S367" s="14">
        <f>_xlfn.XLOOKUP(B367,Summary!$C$10:$C$15,Summary!$B$10:$B$15)</f>
        <v>0.2</v>
      </c>
      <c r="T367">
        <f>IF(AND(H367="Yes",L367&lt;&gt;"Government"),G367*(_xlfn.XLOOKUP(B367,Summary!$C$10:$C$15,Summary!$B$10:$B$15)),0)</f>
        <v>0</v>
      </c>
    </row>
    <row r="368" spans="1:20" x14ac:dyDescent="0.25">
      <c r="A368">
        <v>12396</v>
      </c>
      <c r="B368" t="s">
        <v>42</v>
      </c>
      <c r="C368" t="s">
        <v>30</v>
      </c>
      <c r="D368" s="11">
        <v>720</v>
      </c>
      <c r="E368">
        <v>5.05</v>
      </c>
      <c r="F368">
        <v>7</v>
      </c>
      <c r="G368">
        <f t="shared" si="35"/>
        <v>5040</v>
      </c>
      <c r="H368" t="s">
        <v>71</v>
      </c>
      <c r="J368" s="9">
        <v>45489</v>
      </c>
      <c r="K368" t="s">
        <v>40</v>
      </c>
      <c r="L368" t="s">
        <v>24</v>
      </c>
      <c r="M368" t="str">
        <f t="shared" si="36"/>
        <v>Public Sector</v>
      </c>
      <c r="N368" t="str">
        <f t="shared" si="37"/>
        <v>Small Order</v>
      </c>
      <c r="O368">
        <f t="shared" si="38"/>
        <v>1159.2</v>
      </c>
      <c r="P368">
        <f t="shared" si="39"/>
        <v>0</v>
      </c>
      <c r="Q368" t="b">
        <f t="shared" si="40"/>
        <v>0</v>
      </c>
      <c r="R368">
        <f t="shared" si="41"/>
        <v>0</v>
      </c>
      <c r="S368" s="14">
        <f>_xlfn.XLOOKUP(B368,Summary!$C$10:$C$15,Summary!$B$10:$B$15)</f>
        <v>0.24</v>
      </c>
      <c r="T368">
        <f>IF(AND(H368="Yes",L368&lt;&gt;"Government"),G368*(_xlfn.XLOOKUP(B368,Summary!$C$10:$C$15,Summary!$B$10:$B$15)),0)</f>
        <v>0</v>
      </c>
    </row>
    <row r="369" spans="1:20" x14ac:dyDescent="0.25">
      <c r="A369">
        <v>54491</v>
      </c>
      <c r="B369" t="s">
        <v>29</v>
      </c>
      <c r="C369" t="s">
        <v>35</v>
      </c>
      <c r="D369" s="11">
        <v>1030</v>
      </c>
      <c r="E369">
        <v>10.93</v>
      </c>
      <c r="F369">
        <v>14</v>
      </c>
      <c r="G369">
        <f t="shared" si="35"/>
        <v>14420</v>
      </c>
      <c r="H369" t="s">
        <v>71</v>
      </c>
      <c r="J369" s="9">
        <v>45649</v>
      </c>
      <c r="K369" t="s">
        <v>39</v>
      </c>
      <c r="L369" t="s">
        <v>24</v>
      </c>
      <c r="M369" t="str">
        <f t="shared" si="36"/>
        <v>Public Sector</v>
      </c>
      <c r="N369" t="str">
        <f t="shared" si="37"/>
        <v>Small Order</v>
      </c>
      <c r="O369">
        <f t="shared" si="38"/>
        <v>3316.6000000000004</v>
      </c>
      <c r="P369">
        <f t="shared" si="39"/>
        <v>0</v>
      </c>
      <c r="Q369" t="b">
        <f t="shared" si="40"/>
        <v>0</v>
      </c>
      <c r="R369">
        <f t="shared" si="41"/>
        <v>0</v>
      </c>
      <c r="S369" s="14">
        <f>_xlfn.XLOOKUP(B369,Summary!$C$10:$C$15,Summary!$B$10:$B$15)</f>
        <v>0.22</v>
      </c>
      <c r="T369">
        <f>IF(AND(H369="Yes",L369&lt;&gt;"Government"),G369*(_xlfn.XLOOKUP(B369,Summary!$C$10:$C$15,Summary!$B$10:$B$15)),0)</f>
        <v>0</v>
      </c>
    </row>
    <row r="370" spans="1:20" x14ac:dyDescent="0.25">
      <c r="A370">
        <v>49994</v>
      </c>
      <c r="B370" t="s">
        <v>44</v>
      </c>
      <c r="C370" t="s">
        <v>35</v>
      </c>
      <c r="D370" s="11">
        <v>2394</v>
      </c>
      <c r="E370">
        <v>10.23</v>
      </c>
      <c r="F370">
        <v>12</v>
      </c>
      <c r="G370">
        <f t="shared" si="35"/>
        <v>28728</v>
      </c>
      <c r="H370" t="s">
        <v>72</v>
      </c>
      <c r="J370" s="9">
        <v>45331</v>
      </c>
      <c r="K370" t="s">
        <v>41</v>
      </c>
      <c r="L370" t="s">
        <v>24</v>
      </c>
      <c r="M370" t="str">
        <f t="shared" si="36"/>
        <v>Public Sector</v>
      </c>
      <c r="N370" t="str">
        <f t="shared" si="37"/>
        <v>Large Order</v>
      </c>
      <c r="O370">
        <f t="shared" si="38"/>
        <v>0</v>
      </c>
      <c r="P370">
        <f t="shared" si="39"/>
        <v>0</v>
      </c>
      <c r="Q370" t="b">
        <f t="shared" si="40"/>
        <v>0</v>
      </c>
      <c r="R370">
        <f t="shared" si="41"/>
        <v>0</v>
      </c>
      <c r="S370" s="14">
        <f>_xlfn.XLOOKUP(B370,Summary!$C$10:$C$15,Summary!$B$10:$B$15)</f>
        <v>0.2</v>
      </c>
      <c r="T370">
        <f>IF(AND(H370="Yes",L370&lt;&gt;"Government"),G370*(_xlfn.XLOOKUP(B370,Summary!$C$10:$C$15,Summary!$B$10:$B$15)),0)</f>
        <v>0</v>
      </c>
    </row>
    <row r="371" spans="1:20" x14ac:dyDescent="0.25">
      <c r="A371">
        <v>68372</v>
      </c>
      <c r="B371" t="s">
        <v>29</v>
      </c>
      <c r="C371" t="s">
        <v>36</v>
      </c>
      <c r="D371" s="11">
        <v>1967</v>
      </c>
      <c r="E371">
        <v>120.14</v>
      </c>
      <c r="F371">
        <v>171</v>
      </c>
      <c r="G371">
        <f t="shared" si="35"/>
        <v>336357</v>
      </c>
      <c r="H371" t="s">
        <v>72</v>
      </c>
      <c r="J371" s="9">
        <v>45580</v>
      </c>
      <c r="K371" t="s">
        <v>40</v>
      </c>
      <c r="L371" t="s">
        <v>31</v>
      </c>
      <c r="M371" t="str">
        <f t="shared" si="36"/>
        <v>Private Industry</v>
      </c>
      <c r="N371" t="str">
        <f t="shared" si="37"/>
        <v>Large Order</v>
      </c>
      <c r="O371">
        <f t="shared" si="38"/>
        <v>0</v>
      </c>
      <c r="P371">
        <f t="shared" si="39"/>
        <v>0</v>
      </c>
      <c r="Q371" t="b">
        <f t="shared" si="40"/>
        <v>0</v>
      </c>
      <c r="R371">
        <f t="shared" si="41"/>
        <v>0</v>
      </c>
      <c r="S371" s="14">
        <f>_xlfn.XLOOKUP(B371,Summary!$C$10:$C$15,Summary!$B$10:$B$15)</f>
        <v>0.22</v>
      </c>
      <c r="T371">
        <f>IF(AND(H371="Yes",L371&lt;&gt;"Government"),G371*(_xlfn.XLOOKUP(B371,Summary!$C$10:$C$15,Summary!$B$10:$B$15)),0)</f>
        <v>0</v>
      </c>
    </row>
    <row r="372" spans="1:20" x14ac:dyDescent="0.25">
      <c r="A372">
        <v>82956</v>
      </c>
      <c r="B372" t="s">
        <v>32</v>
      </c>
      <c r="C372" t="s">
        <v>36</v>
      </c>
      <c r="D372" s="11">
        <v>923</v>
      </c>
      <c r="E372">
        <v>120.58</v>
      </c>
      <c r="F372">
        <v>161</v>
      </c>
      <c r="G372">
        <f t="shared" si="35"/>
        <v>148603</v>
      </c>
      <c r="H372" t="s">
        <v>72</v>
      </c>
      <c r="J372" s="9">
        <v>45115</v>
      </c>
      <c r="K372" t="s">
        <v>39</v>
      </c>
      <c r="L372" t="s">
        <v>33</v>
      </c>
      <c r="M372" t="str">
        <f t="shared" si="36"/>
        <v>Private Industry</v>
      </c>
      <c r="N372" t="str">
        <f t="shared" si="37"/>
        <v>Small Order</v>
      </c>
      <c r="O372">
        <f t="shared" si="38"/>
        <v>0</v>
      </c>
      <c r="P372">
        <f t="shared" si="39"/>
        <v>0</v>
      </c>
      <c r="Q372" t="b">
        <f t="shared" si="40"/>
        <v>0</v>
      </c>
      <c r="R372">
        <f t="shared" si="41"/>
        <v>0</v>
      </c>
      <c r="S372" s="14">
        <f>_xlfn.XLOOKUP(B372,Summary!$C$10:$C$15,Summary!$B$10:$B$15)</f>
        <v>0.23</v>
      </c>
      <c r="T372">
        <f>IF(AND(H372="Yes",L372&lt;&gt;"Government"),G372*(_xlfn.XLOOKUP(B372,Summary!$C$10:$C$15,Summary!$B$10:$B$15)),0)</f>
        <v>0</v>
      </c>
    </row>
    <row r="373" spans="1:20" x14ac:dyDescent="0.25">
      <c r="A373">
        <v>41629</v>
      </c>
      <c r="B373" t="s">
        <v>32</v>
      </c>
      <c r="C373" t="s">
        <v>37</v>
      </c>
      <c r="D373" s="11">
        <v>2663</v>
      </c>
      <c r="E373">
        <v>250.69</v>
      </c>
      <c r="F373">
        <v>321</v>
      </c>
      <c r="G373">
        <f t="shared" si="35"/>
        <v>854823</v>
      </c>
      <c r="H373" t="s">
        <v>72</v>
      </c>
      <c r="J373" s="9">
        <v>45558</v>
      </c>
      <c r="K373" t="s">
        <v>40</v>
      </c>
      <c r="L373" t="s">
        <v>24</v>
      </c>
      <c r="M373" t="str">
        <f t="shared" si="36"/>
        <v>Public Sector</v>
      </c>
      <c r="N373" t="str">
        <f t="shared" si="37"/>
        <v>Large Order</v>
      </c>
      <c r="O373">
        <f t="shared" si="38"/>
        <v>0</v>
      </c>
      <c r="P373">
        <f t="shared" si="39"/>
        <v>0</v>
      </c>
      <c r="Q373" t="b">
        <f t="shared" si="40"/>
        <v>0</v>
      </c>
      <c r="R373">
        <f t="shared" si="41"/>
        <v>0</v>
      </c>
      <c r="S373" s="14">
        <f>_xlfn.XLOOKUP(B373,Summary!$C$10:$C$15,Summary!$B$10:$B$15)</f>
        <v>0.23</v>
      </c>
      <c r="T373">
        <f>IF(AND(H373="Yes",L373&lt;&gt;"Government"),G373*(_xlfn.XLOOKUP(B373,Summary!$C$10:$C$15,Summary!$B$10:$B$15)),0)</f>
        <v>0</v>
      </c>
    </row>
    <row r="374" spans="1:20" x14ac:dyDescent="0.25">
      <c r="A374">
        <v>32242</v>
      </c>
      <c r="B374" t="s">
        <v>43</v>
      </c>
      <c r="C374" t="s">
        <v>25</v>
      </c>
      <c r="D374" s="11">
        <v>1858</v>
      </c>
      <c r="E374">
        <v>3.59</v>
      </c>
      <c r="F374">
        <v>6</v>
      </c>
      <c r="G374">
        <f t="shared" si="35"/>
        <v>11148</v>
      </c>
      <c r="H374" t="s">
        <v>72</v>
      </c>
      <c r="J374" s="9">
        <v>45450</v>
      </c>
      <c r="K374" t="s">
        <v>39</v>
      </c>
      <c r="L374" t="s">
        <v>31</v>
      </c>
      <c r="M374" t="str">
        <f t="shared" si="36"/>
        <v>Private Industry</v>
      </c>
      <c r="N374" t="str">
        <f t="shared" si="37"/>
        <v>Large Order</v>
      </c>
      <c r="O374">
        <f t="shared" si="38"/>
        <v>0</v>
      </c>
      <c r="P374">
        <f t="shared" si="39"/>
        <v>0</v>
      </c>
      <c r="Q374" t="b">
        <f t="shared" si="40"/>
        <v>0</v>
      </c>
      <c r="R374">
        <f t="shared" si="41"/>
        <v>0</v>
      </c>
      <c r="S374" s="14">
        <f>_xlfn.XLOOKUP(B374,Summary!$C$10:$C$15,Summary!$B$10:$B$15)</f>
        <v>0.21</v>
      </c>
      <c r="T374">
        <f>IF(AND(H374="Yes",L374&lt;&gt;"Government"),G374*(_xlfn.XLOOKUP(B374,Summary!$C$10:$C$15,Summary!$B$10:$B$15)),0)</f>
        <v>0</v>
      </c>
    </row>
    <row r="375" spans="1:20" x14ac:dyDescent="0.25">
      <c r="A375">
        <v>54363</v>
      </c>
      <c r="B375" t="s">
        <v>27</v>
      </c>
      <c r="C375" t="s">
        <v>30</v>
      </c>
      <c r="D375" s="11">
        <v>2342</v>
      </c>
      <c r="E375">
        <v>5.37</v>
      </c>
      <c r="F375">
        <v>7</v>
      </c>
      <c r="G375">
        <f t="shared" si="35"/>
        <v>16394</v>
      </c>
      <c r="H375" t="s">
        <v>72</v>
      </c>
      <c r="J375" s="9">
        <v>45660</v>
      </c>
      <c r="K375" t="s">
        <v>40</v>
      </c>
      <c r="L375" t="s">
        <v>31</v>
      </c>
      <c r="M375" t="str">
        <f t="shared" si="36"/>
        <v>Private Industry</v>
      </c>
      <c r="N375" t="str">
        <f t="shared" si="37"/>
        <v>Large Order</v>
      </c>
      <c r="O375">
        <f t="shared" si="38"/>
        <v>0</v>
      </c>
      <c r="P375">
        <f t="shared" si="39"/>
        <v>0</v>
      </c>
      <c r="Q375" t="b">
        <f t="shared" si="40"/>
        <v>0</v>
      </c>
      <c r="R375">
        <f t="shared" si="41"/>
        <v>0</v>
      </c>
      <c r="S375" s="14">
        <f>_xlfn.XLOOKUP(B375,Summary!$C$10:$C$15,Summary!$B$10:$B$15)</f>
        <v>0.19</v>
      </c>
      <c r="T375">
        <f>IF(AND(H375="Yes",L375&lt;&gt;"Government"),G375*(_xlfn.XLOOKUP(B375,Summary!$C$10:$C$15,Summary!$B$10:$B$15)),0)</f>
        <v>0</v>
      </c>
    </row>
    <row r="376" spans="1:20" x14ac:dyDescent="0.25">
      <c r="A376">
        <v>37736</v>
      </c>
      <c r="B376" t="s">
        <v>42</v>
      </c>
      <c r="C376" t="s">
        <v>35</v>
      </c>
      <c r="D376" s="11">
        <v>1715</v>
      </c>
      <c r="E376">
        <v>10.96</v>
      </c>
      <c r="F376">
        <v>15</v>
      </c>
      <c r="G376">
        <f t="shared" si="35"/>
        <v>25725</v>
      </c>
      <c r="H376" t="s">
        <v>72</v>
      </c>
      <c r="J376" s="9">
        <v>45675</v>
      </c>
      <c r="K376" t="s">
        <v>41</v>
      </c>
      <c r="L376" t="s">
        <v>24</v>
      </c>
      <c r="M376" t="str">
        <f t="shared" si="36"/>
        <v>Public Sector</v>
      </c>
      <c r="N376" t="str">
        <f t="shared" si="37"/>
        <v>Large Order</v>
      </c>
      <c r="O376">
        <f t="shared" si="38"/>
        <v>0</v>
      </c>
      <c r="P376">
        <f t="shared" si="39"/>
        <v>0</v>
      </c>
      <c r="Q376" t="b">
        <f t="shared" si="40"/>
        <v>0</v>
      </c>
      <c r="R376">
        <f t="shared" si="41"/>
        <v>0</v>
      </c>
      <c r="S376" s="14">
        <f>_xlfn.XLOOKUP(B376,Summary!$C$10:$C$15,Summary!$B$10:$B$15)</f>
        <v>0.24</v>
      </c>
      <c r="T376">
        <f>IF(AND(H376="Yes",L376&lt;&gt;"Government"),G376*(_xlfn.XLOOKUP(B376,Summary!$C$10:$C$15,Summary!$B$10:$B$15)),0)</f>
        <v>0</v>
      </c>
    </row>
    <row r="377" spans="1:20" x14ac:dyDescent="0.25">
      <c r="A377">
        <v>33483</v>
      </c>
      <c r="B377" t="s">
        <v>44</v>
      </c>
      <c r="C377" t="s">
        <v>36</v>
      </c>
      <c r="D377" s="11">
        <v>3850</v>
      </c>
      <c r="E377">
        <v>120.47</v>
      </c>
      <c r="F377">
        <v>161</v>
      </c>
      <c r="G377">
        <f t="shared" si="35"/>
        <v>619850</v>
      </c>
      <c r="H377" t="s">
        <v>72</v>
      </c>
      <c r="J377" s="9">
        <v>45248</v>
      </c>
      <c r="K377" t="s">
        <v>39</v>
      </c>
      <c r="L377" t="s">
        <v>24</v>
      </c>
      <c r="M377" t="str">
        <f t="shared" si="36"/>
        <v>Public Sector</v>
      </c>
      <c r="N377" t="str">
        <f t="shared" si="37"/>
        <v>Large Order</v>
      </c>
      <c r="O377">
        <f t="shared" si="38"/>
        <v>0</v>
      </c>
      <c r="P377">
        <f t="shared" si="39"/>
        <v>0</v>
      </c>
      <c r="Q377" t="b">
        <f t="shared" si="40"/>
        <v>0</v>
      </c>
      <c r="R377">
        <f t="shared" si="41"/>
        <v>0</v>
      </c>
      <c r="S377" s="14">
        <f>_xlfn.XLOOKUP(B377,Summary!$C$10:$C$15,Summary!$B$10:$B$15)</f>
        <v>0.2</v>
      </c>
      <c r="T377">
        <f>IF(AND(H377="Yes",L377&lt;&gt;"Government"),G377*(_xlfn.XLOOKUP(B377,Summary!$C$10:$C$15,Summary!$B$10:$B$15)),0)</f>
        <v>0</v>
      </c>
    </row>
    <row r="378" spans="1:20" x14ac:dyDescent="0.25">
      <c r="A378">
        <v>11408</v>
      </c>
      <c r="B378" t="s">
        <v>32</v>
      </c>
      <c r="C378" t="s">
        <v>36</v>
      </c>
      <c r="D378" s="11">
        <v>241</v>
      </c>
      <c r="E378">
        <v>120.53</v>
      </c>
      <c r="F378">
        <v>146</v>
      </c>
      <c r="G378">
        <f t="shared" si="35"/>
        <v>35186</v>
      </c>
      <c r="H378" t="s">
        <v>71</v>
      </c>
      <c r="J378" s="9">
        <v>45319</v>
      </c>
      <c r="K378" t="s">
        <v>41</v>
      </c>
      <c r="L378" t="s">
        <v>24</v>
      </c>
      <c r="M378" t="str">
        <f t="shared" si="36"/>
        <v>Public Sector</v>
      </c>
      <c r="N378" t="str">
        <f t="shared" si="37"/>
        <v>Small Order</v>
      </c>
      <c r="O378">
        <f t="shared" si="38"/>
        <v>8092.7800000000007</v>
      </c>
      <c r="P378">
        <f t="shared" si="39"/>
        <v>0</v>
      </c>
      <c r="Q378" t="b">
        <f t="shared" si="40"/>
        <v>0</v>
      </c>
      <c r="R378">
        <f t="shared" si="41"/>
        <v>0</v>
      </c>
      <c r="S378" s="14">
        <f>_xlfn.XLOOKUP(B378,Summary!$C$10:$C$15,Summary!$B$10:$B$15)</f>
        <v>0.23</v>
      </c>
      <c r="T378">
        <f>IF(AND(H378="Yes",L378&lt;&gt;"Government"),G378*(_xlfn.XLOOKUP(B378,Summary!$C$10:$C$15,Summary!$B$10:$B$15)),0)</f>
        <v>0</v>
      </c>
    </row>
    <row r="379" spans="1:20" x14ac:dyDescent="0.25">
      <c r="A379">
        <v>52473</v>
      </c>
      <c r="B379" t="s">
        <v>27</v>
      </c>
      <c r="C379" t="s">
        <v>25</v>
      </c>
      <c r="D379" s="11">
        <v>1513</v>
      </c>
      <c r="E379">
        <v>3.74</v>
      </c>
      <c r="F379">
        <v>5</v>
      </c>
      <c r="G379">
        <f t="shared" si="35"/>
        <v>7565</v>
      </c>
      <c r="H379" t="s">
        <v>71</v>
      </c>
      <c r="J379" s="9">
        <v>45757</v>
      </c>
      <c r="K379" t="s">
        <v>26</v>
      </c>
      <c r="L379" t="s">
        <v>24</v>
      </c>
      <c r="M379" t="str">
        <f t="shared" si="36"/>
        <v>Public Sector</v>
      </c>
      <c r="N379" t="str">
        <f t="shared" si="37"/>
        <v>Large Order</v>
      </c>
      <c r="O379">
        <f t="shared" si="38"/>
        <v>1739.95</v>
      </c>
      <c r="P379">
        <f t="shared" si="39"/>
        <v>0</v>
      </c>
      <c r="Q379" t="b">
        <f t="shared" si="40"/>
        <v>0</v>
      </c>
      <c r="R379">
        <f t="shared" si="41"/>
        <v>0</v>
      </c>
      <c r="S379" s="14">
        <f>_xlfn.XLOOKUP(B379,Summary!$C$10:$C$15,Summary!$B$10:$B$15)</f>
        <v>0.19</v>
      </c>
      <c r="T379">
        <f>IF(AND(H379="Yes",L379&lt;&gt;"Government"),G379*(_xlfn.XLOOKUP(B379,Summary!$C$10:$C$15,Summary!$B$10:$B$15)),0)</f>
        <v>0</v>
      </c>
    </row>
    <row r="380" spans="1:20" x14ac:dyDescent="0.25">
      <c r="A380">
        <v>48340</v>
      </c>
      <c r="B380" t="s">
        <v>27</v>
      </c>
      <c r="C380" t="s">
        <v>25</v>
      </c>
      <c r="D380" s="11">
        <v>2811</v>
      </c>
      <c r="E380">
        <v>3.3</v>
      </c>
      <c r="F380">
        <v>5</v>
      </c>
      <c r="G380">
        <f t="shared" si="35"/>
        <v>14055</v>
      </c>
      <c r="H380" t="s">
        <v>71</v>
      </c>
      <c r="J380" s="9">
        <v>45372</v>
      </c>
      <c r="K380" t="s">
        <v>41</v>
      </c>
      <c r="L380" t="s">
        <v>34</v>
      </c>
      <c r="M380" t="str">
        <f t="shared" si="36"/>
        <v>Private Industry</v>
      </c>
      <c r="N380" t="str">
        <f t="shared" si="37"/>
        <v>Large Order</v>
      </c>
      <c r="O380">
        <f t="shared" si="38"/>
        <v>3232.65</v>
      </c>
      <c r="P380">
        <f t="shared" si="39"/>
        <v>3232.65</v>
      </c>
      <c r="Q380" t="b">
        <f t="shared" si="40"/>
        <v>1</v>
      </c>
      <c r="R380">
        <f t="shared" si="41"/>
        <v>3232.65</v>
      </c>
      <c r="S380" s="14">
        <f>_xlfn.XLOOKUP(B380,Summary!$C$10:$C$15,Summary!$B$10:$B$15)</f>
        <v>0.19</v>
      </c>
      <c r="T380">
        <f>IF(AND(H380="Yes",L380&lt;&gt;"Government"),G380*(_xlfn.XLOOKUP(B380,Summary!$C$10:$C$15,Summary!$B$10:$B$15)),0)</f>
        <v>2670.45</v>
      </c>
    </row>
    <row r="381" spans="1:20" x14ac:dyDescent="0.25">
      <c r="A381">
        <v>20732</v>
      </c>
      <c r="B381" t="s">
        <v>29</v>
      </c>
      <c r="C381" t="s">
        <v>25</v>
      </c>
      <c r="D381" s="11">
        <v>1790</v>
      </c>
      <c r="E381">
        <v>3.6</v>
      </c>
      <c r="F381">
        <v>4</v>
      </c>
      <c r="G381">
        <f t="shared" si="35"/>
        <v>7160</v>
      </c>
      <c r="H381" t="s">
        <v>71</v>
      </c>
      <c r="J381" s="9">
        <v>45586</v>
      </c>
      <c r="K381" t="s">
        <v>41</v>
      </c>
      <c r="L381" t="s">
        <v>24</v>
      </c>
      <c r="M381" t="str">
        <f t="shared" si="36"/>
        <v>Public Sector</v>
      </c>
      <c r="N381" t="str">
        <f t="shared" si="37"/>
        <v>Large Order</v>
      </c>
      <c r="O381">
        <f t="shared" si="38"/>
        <v>1646.8000000000002</v>
      </c>
      <c r="P381">
        <f t="shared" si="39"/>
        <v>0</v>
      </c>
      <c r="Q381" t="b">
        <f t="shared" si="40"/>
        <v>0</v>
      </c>
      <c r="R381">
        <f t="shared" si="41"/>
        <v>0</v>
      </c>
      <c r="S381" s="14">
        <f>_xlfn.XLOOKUP(B381,Summary!$C$10:$C$15,Summary!$B$10:$B$15)</f>
        <v>0.22</v>
      </c>
      <c r="T381">
        <f>IF(AND(H381="Yes",L381&lt;&gt;"Government"),G381*(_xlfn.XLOOKUP(B381,Summary!$C$10:$C$15,Summary!$B$10:$B$15)),0)</f>
        <v>0</v>
      </c>
    </row>
    <row r="382" spans="1:20" x14ac:dyDescent="0.25">
      <c r="A382">
        <v>81421</v>
      </c>
      <c r="B382" t="s">
        <v>43</v>
      </c>
      <c r="C382" t="s">
        <v>38</v>
      </c>
      <c r="D382" s="11">
        <v>2907</v>
      </c>
      <c r="E382">
        <v>260.10000000000002</v>
      </c>
      <c r="F382">
        <v>331</v>
      </c>
      <c r="G382">
        <f t="shared" si="35"/>
        <v>962217</v>
      </c>
      <c r="H382" t="s">
        <v>71</v>
      </c>
      <c r="J382" s="9">
        <v>45301</v>
      </c>
      <c r="K382" t="s">
        <v>40</v>
      </c>
      <c r="L382" t="s">
        <v>24</v>
      </c>
      <c r="M382" t="str">
        <f t="shared" si="36"/>
        <v>Public Sector</v>
      </c>
      <c r="N382" t="str">
        <f t="shared" si="37"/>
        <v>Large Order</v>
      </c>
      <c r="O382">
        <f t="shared" si="38"/>
        <v>221309.91</v>
      </c>
      <c r="P382">
        <f t="shared" si="39"/>
        <v>0</v>
      </c>
      <c r="Q382" t="b">
        <f t="shared" si="40"/>
        <v>0</v>
      </c>
      <c r="R382">
        <f t="shared" si="41"/>
        <v>0</v>
      </c>
      <c r="S382" s="14">
        <f>_xlfn.XLOOKUP(B382,Summary!$C$10:$C$15,Summary!$B$10:$B$15)</f>
        <v>0.21</v>
      </c>
      <c r="T382">
        <f>IF(AND(H382="Yes",L382&lt;&gt;"Government"),G382*(_xlfn.XLOOKUP(B382,Summary!$C$10:$C$15,Summary!$B$10:$B$15)),0)</f>
        <v>0</v>
      </c>
    </row>
    <row r="383" spans="1:20" x14ac:dyDescent="0.25">
      <c r="A383">
        <v>48296</v>
      </c>
      <c r="B383" t="s">
        <v>43</v>
      </c>
      <c r="C383" t="s">
        <v>30</v>
      </c>
      <c r="D383" s="11">
        <v>677</v>
      </c>
      <c r="E383">
        <v>5.75</v>
      </c>
      <c r="F383">
        <v>9</v>
      </c>
      <c r="G383">
        <f t="shared" si="35"/>
        <v>6093</v>
      </c>
      <c r="H383" t="s">
        <v>72</v>
      </c>
      <c r="J383" s="9">
        <v>45298</v>
      </c>
      <c r="K383" t="s">
        <v>41</v>
      </c>
      <c r="L383" t="s">
        <v>28</v>
      </c>
      <c r="M383" t="str">
        <f t="shared" si="36"/>
        <v>Private Industry</v>
      </c>
      <c r="N383" t="str">
        <f t="shared" si="37"/>
        <v>Small Order</v>
      </c>
      <c r="O383">
        <f t="shared" si="38"/>
        <v>0</v>
      </c>
      <c r="P383">
        <f t="shared" si="39"/>
        <v>0</v>
      </c>
      <c r="Q383" t="b">
        <f t="shared" si="40"/>
        <v>0</v>
      </c>
      <c r="R383">
        <f t="shared" si="41"/>
        <v>0</v>
      </c>
      <c r="S383" s="14">
        <f>_xlfn.XLOOKUP(B383,Summary!$C$10:$C$15,Summary!$B$10:$B$15)</f>
        <v>0.21</v>
      </c>
      <c r="T383">
        <f>IF(AND(H383="Yes",L383&lt;&gt;"Government"),G383*(_xlfn.XLOOKUP(B383,Summary!$C$10:$C$15,Summary!$B$10:$B$15)),0)</f>
        <v>0</v>
      </c>
    </row>
    <row r="384" spans="1:20" x14ac:dyDescent="0.25">
      <c r="A384">
        <v>31828</v>
      </c>
      <c r="B384" t="s">
        <v>32</v>
      </c>
      <c r="C384" t="s">
        <v>36</v>
      </c>
      <c r="D384" s="11">
        <v>663</v>
      </c>
      <c r="E384">
        <v>120.29</v>
      </c>
      <c r="F384">
        <v>175</v>
      </c>
      <c r="G384">
        <f t="shared" si="35"/>
        <v>116025</v>
      </c>
      <c r="H384" t="s">
        <v>71</v>
      </c>
      <c r="J384" s="9">
        <v>45071</v>
      </c>
      <c r="K384" t="s">
        <v>39</v>
      </c>
      <c r="L384" t="s">
        <v>33</v>
      </c>
      <c r="M384" t="str">
        <f t="shared" si="36"/>
        <v>Private Industry</v>
      </c>
      <c r="N384" t="str">
        <f t="shared" si="37"/>
        <v>Small Order</v>
      </c>
      <c r="O384">
        <f t="shared" si="38"/>
        <v>26685.75</v>
      </c>
      <c r="P384">
        <f t="shared" si="39"/>
        <v>26685.75</v>
      </c>
      <c r="Q384" t="b">
        <f t="shared" si="40"/>
        <v>1</v>
      </c>
      <c r="R384">
        <f t="shared" si="41"/>
        <v>26685.75</v>
      </c>
      <c r="S384" s="14">
        <f>_xlfn.XLOOKUP(B384,Summary!$C$10:$C$15,Summary!$B$10:$B$15)</f>
        <v>0.23</v>
      </c>
      <c r="T384">
        <f>IF(AND(H384="Yes",L384&lt;&gt;"Government"),G384*(_xlfn.XLOOKUP(B384,Summary!$C$10:$C$15,Summary!$B$10:$B$15)),0)</f>
        <v>26685.75</v>
      </c>
    </row>
    <row r="385" spans="1:20" x14ac:dyDescent="0.25">
      <c r="A385">
        <v>44782</v>
      </c>
      <c r="B385" t="s">
        <v>29</v>
      </c>
      <c r="C385" t="s">
        <v>35</v>
      </c>
      <c r="D385" s="11">
        <v>2155</v>
      </c>
      <c r="E385">
        <v>10.55</v>
      </c>
      <c r="F385">
        <v>15</v>
      </c>
      <c r="G385">
        <f t="shared" si="35"/>
        <v>32325</v>
      </c>
      <c r="H385" t="s">
        <v>71</v>
      </c>
      <c r="J385" s="9">
        <v>45151</v>
      </c>
      <c r="K385" t="s">
        <v>39</v>
      </c>
      <c r="L385" t="s">
        <v>24</v>
      </c>
      <c r="M385" t="str">
        <f t="shared" si="36"/>
        <v>Public Sector</v>
      </c>
      <c r="N385" t="str">
        <f t="shared" si="37"/>
        <v>Large Order</v>
      </c>
      <c r="O385">
        <f t="shared" si="38"/>
        <v>7434.75</v>
      </c>
      <c r="P385">
        <f t="shared" si="39"/>
        <v>0</v>
      </c>
      <c r="Q385" t="b">
        <f t="shared" si="40"/>
        <v>0</v>
      </c>
      <c r="R385">
        <f t="shared" si="41"/>
        <v>0</v>
      </c>
      <c r="S385" s="14">
        <f>_xlfn.XLOOKUP(B385,Summary!$C$10:$C$15,Summary!$B$10:$B$15)</f>
        <v>0.22</v>
      </c>
      <c r="T385">
        <f>IF(AND(H385="Yes",L385&lt;&gt;"Government"),G385*(_xlfn.XLOOKUP(B385,Summary!$C$10:$C$15,Summary!$B$10:$B$15)),0)</f>
        <v>0</v>
      </c>
    </row>
    <row r="386" spans="1:20" x14ac:dyDescent="0.25">
      <c r="A386">
        <v>89136</v>
      </c>
      <c r="B386" t="s">
        <v>32</v>
      </c>
      <c r="C386" t="s">
        <v>30</v>
      </c>
      <c r="D386" s="11">
        <v>2734</v>
      </c>
      <c r="E386">
        <v>5.0599999999999996</v>
      </c>
      <c r="F386">
        <v>6</v>
      </c>
      <c r="G386">
        <f t="shared" si="35"/>
        <v>16404</v>
      </c>
      <c r="H386" t="s">
        <v>72</v>
      </c>
      <c r="J386" s="9">
        <v>45247</v>
      </c>
      <c r="K386" t="s">
        <v>41</v>
      </c>
      <c r="L386" t="s">
        <v>24</v>
      </c>
      <c r="M386" t="str">
        <f t="shared" si="36"/>
        <v>Public Sector</v>
      </c>
      <c r="N386" t="str">
        <f t="shared" si="37"/>
        <v>Large Order</v>
      </c>
      <c r="O386">
        <f t="shared" si="38"/>
        <v>0</v>
      </c>
      <c r="P386">
        <f t="shared" si="39"/>
        <v>0</v>
      </c>
      <c r="Q386" t="b">
        <f t="shared" si="40"/>
        <v>0</v>
      </c>
      <c r="R386">
        <f t="shared" si="41"/>
        <v>0</v>
      </c>
      <c r="S386" s="14">
        <f>_xlfn.XLOOKUP(B386,Summary!$C$10:$C$15,Summary!$B$10:$B$15)</f>
        <v>0.23</v>
      </c>
      <c r="T386">
        <f>IF(AND(H386="Yes",L386&lt;&gt;"Government"),G386*(_xlfn.XLOOKUP(B386,Summary!$C$10:$C$15,Summary!$B$10:$B$15)),0)</f>
        <v>0</v>
      </c>
    </row>
    <row r="387" spans="1:20" x14ac:dyDescent="0.25">
      <c r="A387">
        <v>52131</v>
      </c>
      <c r="B387" t="s">
        <v>27</v>
      </c>
      <c r="C387" t="s">
        <v>36</v>
      </c>
      <c r="D387" s="11">
        <v>1250</v>
      </c>
      <c r="E387">
        <v>120.26</v>
      </c>
      <c r="F387">
        <v>148</v>
      </c>
      <c r="G387">
        <f t="shared" ref="G387:G450" si="42">D387*F387</f>
        <v>185000</v>
      </c>
      <c r="H387" t="s">
        <v>71</v>
      </c>
      <c r="J387" s="9">
        <v>45406</v>
      </c>
      <c r="K387" t="s">
        <v>40</v>
      </c>
      <c r="L387" t="s">
        <v>34</v>
      </c>
      <c r="M387" t="str">
        <f t="shared" ref="M387:M450" si="43">IF(L387="Government","Public Sector","Private Industry")</f>
        <v>Private Industry</v>
      </c>
      <c r="N387" t="str">
        <f t="shared" ref="N387:N450" si="44">IF(D387&gt;1500,"Large Order","Small Order")</f>
        <v>Small Order</v>
      </c>
      <c r="O387">
        <f t="shared" ref="O387:O450" si="45">IF(H387="Yes",G387*0.23,0)</f>
        <v>42550</v>
      </c>
      <c r="P387">
        <f t="shared" ref="P387:P450" si="46">IF(Q387,G387*0.23,0)</f>
        <v>42550</v>
      </c>
      <c r="Q387" t="b">
        <f t="shared" ref="Q387:Q450" si="47">AND(H387="Yes",L387&lt;&gt;"Government")</f>
        <v>1</v>
      </c>
      <c r="R387">
        <f t="shared" ref="R387:R450" si="48">IF(AND(H387="Yes",L387&lt;&gt;"Government"),G387*0.23,0)</f>
        <v>42550</v>
      </c>
      <c r="S387" s="14">
        <f>_xlfn.XLOOKUP(B387,Summary!$C$10:$C$15,Summary!$B$10:$B$15)</f>
        <v>0.19</v>
      </c>
      <c r="T387">
        <f>IF(AND(H387="Yes",L387&lt;&gt;"Government"),G387*(_xlfn.XLOOKUP(B387,Summary!$C$10:$C$15,Summary!$B$10:$B$15)),0)</f>
        <v>35150</v>
      </c>
    </row>
    <row r="388" spans="1:20" x14ac:dyDescent="0.25">
      <c r="A388">
        <v>23035</v>
      </c>
      <c r="B388" t="s">
        <v>29</v>
      </c>
      <c r="C388" t="s">
        <v>38</v>
      </c>
      <c r="D388" s="11">
        <v>306</v>
      </c>
      <c r="E388">
        <v>260.93</v>
      </c>
      <c r="F388">
        <v>316</v>
      </c>
      <c r="G388">
        <f t="shared" si="42"/>
        <v>96696</v>
      </c>
      <c r="H388" t="s">
        <v>71</v>
      </c>
      <c r="J388" s="9">
        <v>45166</v>
      </c>
      <c r="K388" t="s">
        <v>40</v>
      </c>
      <c r="L388" t="s">
        <v>31</v>
      </c>
      <c r="M388" t="str">
        <f t="shared" si="43"/>
        <v>Private Industry</v>
      </c>
      <c r="N388" t="str">
        <f t="shared" si="44"/>
        <v>Small Order</v>
      </c>
      <c r="O388">
        <f t="shared" si="45"/>
        <v>22240.080000000002</v>
      </c>
      <c r="P388">
        <f t="shared" si="46"/>
        <v>22240.080000000002</v>
      </c>
      <c r="Q388" t="b">
        <f t="shared" si="47"/>
        <v>1</v>
      </c>
      <c r="R388">
        <f t="shared" si="48"/>
        <v>22240.080000000002</v>
      </c>
      <c r="S388" s="14">
        <f>_xlfn.XLOOKUP(B388,Summary!$C$10:$C$15,Summary!$B$10:$B$15)</f>
        <v>0.22</v>
      </c>
      <c r="T388">
        <f>IF(AND(H388="Yes",L388&lt;&gt;"Government"),G388*(_xlfn.XLOOKUP(B388,Summary!$C$10:$C$15,Summary!$B$10:$B$15)),0)</f>
        <v>21273.119999999999</v>
      </c>
    </row>
    <row r="389" spans="1:20" x14ac:dyDescent="0.25">
      <c r="A389">
        <v>74413</v>
      </c>
      <c r="B389" t="s">
        <v>32</v>
      </c>
      <c r="C389" t="s">
        <v>35</v>
      </c>
      <c r="D389" s="11">
        <v>2261</v>
      </c>
      <c r="E389">
        <v>10.77</v>
      </c>
      <c r="F389">
        <v>12</v>
      </c>
      <c r="G389">
        <f t="shared" si="42"/>
        <v>27132</v>
      </c>
      <c r="H389" t="s">
        <v>72</v>
      </c>
      <c r="J389" s="9">
        <v>45749</v>
      </c>
      <c r="K389" t="s">
        <v>39</v>
      </c>
      <c r="L389" t="s">
        <v>28</v>
      </c>
      <c r="M389" t="str">
        <f t="shared" si="43"/>
        <v>Private Industry</v>
      </c>
      <c r="N389" t="str">
        <f t="shared" si="44"/>
        <v>Large Order</v>
      </c>
      <c r="O389">
        <f t="shared" si="45"/>
        <v>0</v>
      </c>
      <c r="P389">
        <f t="shared" si="46"/>
        <v>0</v>
      </c>
      <c r="Q389" t="b">
        <f t="shared" si="47"/>
        <v>0</v>
      </c>
      <c r="R389">
        <f t="shared" si="48"/>
        <v>0</v>
      </c>
      <c r="S389" s="14">
        <f>_xlfn.XLOOKUP(B389,Summary!$C$10:$C$15,Summary!$B$10:$B$15)</f>
        <v>0.23</v>
      </c>
      <c r="T389">
        <f>IF(AND(H389="Yes",L389&lt;&gt;"Government"),G389*(_xlfn.XLOOKUP(B389,Summary!$C$10:$C$15,Summary!$B$10:$B$15)),0)</f>
        <v>0</v>
      </c>
    </row>
    <row r="390" spans="1:20" x14ac:dyDescent="0.25">
      <c r="A390">
        <v>77156</v>
      </c>
      <c r="B390" t="s">
        <v>44</v>
      </c>
      <c r="C390" t="s">
        <v>36</v>
      </c>
      <c r="D390" s="11">
        <v>598</v>
      </c>
      <c r="E390">
        <v>120.42</v>
      </c>
      <c r="F390">
        <v>165</v>
      </c>
      <c r="G390">
        <f t="shared" si="42"/>
        <v>98670</v>
      </c>
      <c r="H390" t="s">
        <v>72</v>
      </c>
      <c r="J390" s="9">
        <v>45464</v>
      </c>
      <c r="K390" t="s">
        <v>40</v>
      </c>
      <c r="L390" t="s">
        <v>31</v>
      </c>
      <c r="M390" t="str">
        <f t="shared" si="43"/>
        <v>Private Industry</v>
      </c>
      <c r="N390" t="str">
        <f t="shared" si="44"/>
        <v>Small Order</v>
      </c>
      <c r="O390">
        <f t="shared" si="45"/>
        <v>0</v>
      </c>
      <c r="P390">
        <f t="shared" si="46"/>
        <v>0</v>
      </c>
      <c r="Q390" t="b">
        <f t="shared" si="47"/>
        <v>0</v>
      </c>
      <c r="R390">
        <f t="shared" si="48"/>
        <v>0</v>
      </c>
      <c r="S390" s="14">
        <f>_xlfn.XLOOKUP(B390,Summary!$C$10:$C$15,Summary!$B$10:$B$15)</f>
        <v>0.2</v>
      </c>
      <c r="T390">
        <f>IF(AND(H390="Yes",L390&lt;&gt;"Government"),G390*(_xlfn.XLOOKUP(B390,Summary!$C$10:$C$15,Summary!$B$10:$B$15)),0)</f>
        <v>0</v>
      </c>
    </row>
    <row r="391" spans="1:20" x14ac:dyDescent="0.25">
      <c r="A391">
        <v>86012</v>
      </c>
      <c r="B391" t="s">
        <v>29</v>
      </c>
      <c r="C391" t="s">
        <v>37</v>
      </c>
      <c r="D391" s="11">
        <v>1744</v>
      </c>
      <c r="E391">
        <v>250.96</v>
      </c>
      <c r="F391">
        <v>342</v>
      </c>
      <c r="G391">
        <f t="shared" si="42"/>
        <v>596448</v>
      </c>
      <c r="H391" t="s">
        <v>71</v>
      </c>
      <c r="J391" s="9">
        <v>45613</v>
      </c>
      <c r="K391" t="s">
        <v>39</v>
      </c>
      <c r="L391" t="s">
        <v>33</v>
      </c>
      <c r="M391" t="str">
        <f t="shared" si="43"/>
        <v>Private Industry</v>
      </c>
      <c r="N391" t="str">
        <f t="shared" si="44"/>
        <v>Large Order</v>
      </c>
      <c r="O391">
        <f t="shared" si="45"/>
        <v>137183.04000000001</v>
      </c>
      <c r="P391">
        <f t="shared" si="46"/>
        <v>137183.04000000001</v>
      </c>
      <c r="Q391" t="b">
        <f t="shared" si="47"/>
        <v>1</v>
      </c>
      <c r="R391">
        <f t="shared" si="48"/>
        <v>137183.04000000001</v>
      </c>
      <c r="S391" s="14">
        <f>_xlfn.XLOOKUP(B391,Summary!$C$10:$C$15,Summary!$B$10:$B$15)</f>
        <v>0.22</v>
      </c>
      <c r="T391">
        <f>IF(AND(H391="Yes",L391&lt;&gt;"Government"),G391*(_xlfn.XLOOKUP(B391,Summary!$C$10:$C$15,Summary!$B$10:$B$15)),0)</f>
        <v>131218.56</v>
      </c>
    </row>
    <row r="392" spans="1:20" x14ac:dyDescent="0.25">
      <c r="A392">
        <v>30484</v>
      </c>
      <c r="B392" t="s">
        <v>32</v>
      </c>
      <c r="C392" t="s">
        <v>30</v>
      </c>
      <c r="D392" s="11">
        <v>1282</v>
      </c>
      <c r="E392">
        <v>5.45</v>
      </c>
      <c r="F392">
        <v>8</v>
      </c>
      <c r="G392">
        <f t="shared" si="42"/>
        <v>10256</v>
      </c>
      <c r="H392" t="s">
        <v>72</v>
      </c>
      <c r="J392" s="9">
        <v>45687</v>
      </c>
      <c r="K392" t="s">
        <v>40</v>
      </c>
      <c r="L392" t="s">
        <v>24</v>
      </c>
      <c r="M392" t="str">
        <f t="shared" si="43"/>
        <v>Public Sector</v>
      </c>
      <c r="N392" t="str">
        <f t="shared" si="44"/>
        <v>Small Order</v>
      </c>
      <c r="O392">
        <f t="shared" si="45"/>
        <v>0</v>
      </c>
      <c r="P392">
        <f t="shared" si="46"/>
        <v>0</v>
      </c>
      <c r="Q392" t="b">
        <f t="shared" si="47"/>
        <v>0</v>
      </c>
      <c r="R392">
        <f t="shared" si="48"/>
        <v>0</v>
      </c>
      <c r="S392" s="14">
        <f>_xlfn.XLOOKUP(B392,Summary!$C$10:$C$15,Summary!$B$10:$B$15)</f>
        <v>0.23</v>
      </c>
      <c r="T392">
        <f>IF(AND(H392="Yes",L392&lt;&gt;"Government"),G392*(_xlfn.XLOOKUP(B392,Summary!$C$10:$C$15,Summary!$B$10:$B$15)),0)</f>
        <v>0</v>
      </c>
    </row>
    <row r="393" spans="1:20" x14ac:dyDescent="0.25">
      <c r="A393">
        <v>29201</v>
      </c>
      <c r="B393" t="s">
        <v>29</v>
      </c>
      <c r="C393" t="s">
        <v>37</v>
      </c>
      <c r="D393" s="11">
        <v>293</v>
      </c>
      <c r="E393">
        <v>250.31</v>
      </c>
      <c r="F393">
        <v>331</v>
      </c>
      <c r="G393">
        <f t="shared" si="42"/>
        <v>96983</v>
      </c>
      <c r="H393" t="s">
        <v>71</v>
      </c>
      <c r="J393" s="9">
        <v>45232</v>
      </c>
      <c r="K393" t="s">
        <v>41</v>
      </c>
      <c r="L393" t="s">
        <v>24</v>
      </c>
      <c r="M393" t="str">
        <f t="shared" si="43"/>
        <v>Public Sector</v>
      </c>
      <c r="N393" t="str">
        <f t="shared" si="44"/>
        <v>Small Order</v>
      </c>
      <c r="O393">
        <f t="shared" si="45"/>
        <v>22306.09</v>
      </c>
      <c r="P393">
        <f t="shared" si="46"/>
        <v>0</v>
      </c>
      <c r="Q393" t="b">
        <f t="shared" si="47"/>
        <v>0</v>
      </c>
      <c r="R393">
        <f t="shared" si="48"/>
        <v>0</v>
      </c>
      <c r="S393" s="14">
        <f>_xlfn.XLOOKUP(B393,Summary!$C$10:$C$15,Summary!$B$10:$B$15)</f>
        <v>0.22</v>
      </c>
      <c r="T393">
        <f>IF(AND(H393="Yes",L393&lt;&gt;"Government"),G393*(_xlfn.XLOOKUP(B393,Summary!$C$10:$C$15,Summary!$B$10:$B$15)),0)</f>
        <v>0</v>
      </c>
    </row>
    <row r="394" spans="1:20" x14ac:dyDescent="0.25">
      <c r="A394">
        <v>43511</v>
      </c>
      <c r="B394" t="s">
        <v>32</v>
      </c>
      <c r="C394" t="s">
        <v>30</v>
      </c>
      <c r="D394" s="11">
        <v>1375</v>
      </c>
      <c r="E394">
        <v>5.07</v>
      </c>
      <c r="F394">
        <v>6</v>
      </c>
      <c r="G394">
        <f t="shared" si="42"/>
        <v>8250</v>
      </c>
      <c r="H394" t="s">
        <v>71</v>
      </c>
      <c r="J394" s="9">
        <v>45536</v>
      </c>
      <c r="K394" t="s">
        <v>39</v>
      </c>
      <c r="L394" t="s">
        <v>24</v>
      </c>
      <c r="M394" t="str">
        <f t="shared" si="43"/>
        <v>Public Sector</v>
      </c>
      <c r="N394" t="str">
        <f t="shared" si="44"/>
        <v>Small Order</v>
      </c>
      <c r="O394">
        <f t="shared" si="45"/>
        <v>1897.5</v>
      </c>
      <c r="P394">
        <f t="shared" si="46"/>
        <v>0</v>
      </c>
      <c r="Q394" t="b">
        <f t="shared" si="47"/>
        <v>0</v>
      </c>
      <c r="R394">
        <f t="shared" si="48"/>
        <v>0</v>
      </c>
      <c r="S394" s="14">
        <f>_xlfn.XLOOKUP(B394,Summary!$C$10:$C$15,Summary!$B$10:$B$15)</f>
        <v>0.23</v>
      </c>
      <c r="T394">
        <f>IF(AND(H394="Yes",L394&lt;&gt;"Government"),G394*(_xlfn.XLOOKUP(B394,Summary!$C$10:$C$15,Summary!$B$10:$B$15)),0)</f>
        <v>0</v>
      </c>
    </row>
    <row r="395" spans="1:20" x14ac:dyDescent="0.25">
      <c r="A395">
        <v>90536</v>
      </c>
      <c r="B395" t="s">
        <v>42</v>
      </c>
      <c r="C395" t="s">
        <v>25</v>
      </c>
      <c r="D395" s="11">
        <v>1834</v>
      </c>
      <c r="E395">
        <v>3.36</v>
      </c>
      <c r="F395">
        <v>5</v>
      </c>
      <c r="G395">
        <f t="shared" si="42"/>
        <v>9170</v>
      </c>
      <c r="H395" t="s">
        <v>72</v>
      </c>
      <c r="J395" s="9">
        <v>45482</v>
      </c>
      <c r="K395" t="s">
        <v>40</v>
      </c>
      <c r="L395" t="s">
        <v>24</v>
      </c>
      <c r="M395" t="str">
        <f t="shared" si="43"/>
        <v>Public Sector</v>
      </c>
      <c r="N395" t="str">
        <f t="shared" si="44"/>
        <v>Large Order</v>
      </c>
      <c r="O395">
        <f t="shared" si="45"/>
        <v>0</v>
      </c>
      <c r="P395">
        <f t="shared" si="46"/>
        <v>0</v>
      </c>
      <c r="Q395" t="b">
        <f t="shared" si="47"/>
        <v>0</v>
      </c>
      <c r="R395">
        <f t="shared" si="48"/>
        <v>0</v>
      </c>
      <c r="S395" s="14">
        <f>_xlfn.XLOOKUP(B395,Summary!$C$10:$C$15,Summary!$B$10:$B$15)</f>
        <v>0.24</v>
      </c>
      <c r="T395">
        <f>IF(AND(H395="Yes",L395&lt;&gt;"Government"),G395*(_xlfn.XLOOKUP(B395,Summary!$C$10:$C$15,Summary!$B$10:$B$15)),0)</f>
        <v>0</v>
      </c>
    </row>
    <row r="396" spans="1:20" x14ac:dyDescent="0.25">
      <c r="A396">
        <v>16244</v>
      </c>
      <c r="B396" t="s">
        <v>27</v>
      </c>
      <c r="C396" t="s">
        <v>37</v>
      </c>
      <c r="D396" s="11">
        <v>2659</v>
      </c>
      <c r="E396">
        <v>250.19</v>
      </c>
      <c r="F396">
        <v>263</v>
      </c>
      <c r="G396">
        <f t="shared" si="42"/>
        <v>699317</v>
      </c>
      <c r="H396" t="s">
        <v>72</v>
      </c>
      <c r="J396" s="9">
        <v>45696</v>
      </c>
      <c r="K396" t="s">
        <v>40</v>
      </c>
      <c r="L396" t="s">
        <v>34</v>
      </c>
      <c r="M396" t="str">
        <f t="shared" si="43"/>
        <v>Private Industry</v>
      </c>
      <c r="N396" t="str">
        <f t="shared" si="44"/>
        <v>Large Order</v>
      </c>
      <c r="O396">
        <f t="shared" si="45"/>
        <v>0</v>
      </c>
      <c r="P396">
        <f t="shared" si="46"/>
        <v>0</v>
      </c>
      <c r="Q396" t="b">
        <f t="shared" si="47"/>
        <v>0</v>
      </c>
      <c r="R396">
        <f t="shared" si="48"/>
        <v>0</v>
      </c>
      <c r="S396" s="14">
        <f>_xlfn.XLOOKUP(B396,Summary!$C$10:$C$15,Summary!$B$10:$B$15)</f>
        <v>0.19</v>
      </c>
      <c r="T396">
        <f>IF(AND(H396="Yes",L396&lt;&gt;"Government"),G396*(_xlfn.XLOOKUP(B396,Summary!$C$10:$C$15,Summary!$B$10:$B$15)),0)</f>
        <v>0</v>
      </c>
    </row>
    <row r="397" spans="1:20" x14ac:dyDescent="0.25">
      <c r="A397">
        <v>76287</v>
      </c>
      <c r="B397" t="s">
        <v>43</v>
      </c>
      <c r="C397" t="s">
        <v>35</v>
      </c>
      <c r="D397" s="11">
        <v>2641</v>
      </c>
      <c r="E397">
        <v>10.27</v>
      </c>
      <c r="F397">
        <v>15</v>
      </c>
      <c r="G397">
        <f t="shared" si="42"/>
        <v>39615</v>
      </c>
      <c r="H397" t="s">
        <v>71</v>
      </c>
      <c r="J397" s="9">
        <v>45191</v>
      </c>
      <c r="K397" t="s">
        <v>41</v>
      </c>
      <c r="L397" t="s">
        <v>24</v>
      </c>
      <c r="M397" t="str">
        <f t="shared" si="43"/>
        <v>Public Sector</v>
      </c>
      <c r="N397" t="str">
        <f t="shared" si="44"/>
        <v>Large Order</v>
      </c>
      <c r="O397">
        <f t="shared" si="45"/>
        <v>9111.4500000000007</v>
      </c>
      <c r="P397">
        <f t="shared" si="46"/>
        <v>0</v>
      </c>
      <c r="Q397" t="b">
        <f t="shared" si="47"/>
        <v>0</v>
      </c>
      <c r="R397">
        <f t="shared" si="48"/>
        <v>0</v>
      </c>
      <c r="S397" s="14">
        <f>_xlfn.XLOOKUP(B397,Summary!$C$10:$C$15,Summary!$B$10:$B$15)</f>
        <v>0.21</v>
      </c>
      <c r="T397">
        <f>IF(AND(H397="Yes",L397&lt;&gt;"Government"),G397*(_xlfn.XLOOKUP(B397,Summary!$C$10:$C$15,Summary!$B$10:$B$15)),0)</f>
        <v>0</v>
      </c>
    </row>
    <row r="398" spans="1:20" x14ac:dyDescent="0.25">
      <c r="A398">
        <v>68821</v>
      </c>
      <c r="B398" t="s">
        <v>32</v>
      </c>
      <c r="C398" t="s">
        <v>36</v>
      </c>
      <c r="D398" s="11">
        <v>2755</v>
      </c>
      <c r="E398">
        <v>120.61</v>
      </c>
      <c r="F398">
        <v>152</v>
      </c>
      <c r="G398">
        <f t="shared" si="42"/>
        <v>418760</v>
      </c>
      <c r="H398" t="s">
        <v>71</v>
      </c>
      <c r="J398" s="9">
        <v>45688</v>
      </c>
      <c r="K398" t="s">
        <v>40</v>
      </c>
      <c r="L398" t="s">
        <v>33</v>
      </c>
      <c r="M398" t="str">
        <f t="shared" si="43"/>
        <v>Private Industry</v>
      </c>
      <c r="N398" t="str">
        <f t="shared" si="44"/>
        <v>Large Order</v>
      </c>
      <c r="O398">
        <f t="shared" si="45"/>
        <v>96314.8</v>
      </c>
      <c r="P398">
        <f t="shared" si="46"/>
        <v>96314.8</v>
      </c>
      <c r="Q398" t="b">
        <f t="shared" si="47"/>
        <v>1</v>
      </c>
      <c r="R398">
        <f t="shared" si="48"/>
        <v>96314.8</v>
      </c>
      <c r="S398" s="14">
        <f>_xlfn.XLOOKUP(B398,Summary!$C$10:$C$15,Summary!$B$10:$B$15)</f>
        <v>0.23</v>
      </c>
      <c r="T398">
        <f>IF(AND(H398="Yes",L398&lt;&gt;"Government"),G398*(_xlfn.XLOOKUP(B398,Summary!$C$10:$C$15,Summary!$B$10:$B$15)),0)</f>
        <v>96314.8</v>
      </c>
    </row>
    <row r="399" spans="1:20" x14ac:dyDescent="0.25">
      <c r="A399">
        <v>85014</v>
      </c>
      <c r="B399" t="s">
        <v>29</v>
      </c>
      <c r="C399" t="s">
        <v>36</v>
      </c>
      <c r="D399" s="11">
        <v>704</v>
      </c>
      <c r="E399">
        <v>120.67</v>
      </c>
      <c r="F399">
        <v>155</v>
      </c>
      <c r="G399">
        <f t="shared" si="42"/>
        <v>109120</v>
      </c>
      <c r="H399" t="s">
        <v>72</v>
      </c>
      <c r="J399" s="9">
        <v>45656</v>
      </c>
      <c r="K399" t="s">
        <v>40</v>
      </c>
      <c r="L399" t="s">
        <v>33</v>
      </c>
      <c r="M399" t="str">
        <f t="shared" si="43"/>
        <v>Private Industry</v>
      </c>
      <c r="N399" t="str">
        <f t="shared" si="44"/>
        <v>Small Order</v>
      </c>
      <c r="O399">
        <f t="shared" si="45"/>
        <v>0</v>
      </c>
      <c r="P399">
        <f t="shared" si="46"/>
        <v>0</v>
      </c>
      <c r="Q399" t="b">
        <f t="shared" si="47"/>
        <v>0</v>
      </c>
      <c r="R399">
        <f t="shared" si="48"/>
        <v>0</v>
      </c>
      <c r="S399" s="14">
        <f>_xlfn.XLOOKUP(B399,Summary!$C$10:$C$15,Summary!$B$10:$B$15)</f>
        <v>0.22</v>
      </c>
      <c r="T399">
        <f>IF(AND(H399="Yes",L399&lt;&gt;"Government"),G399*(_xlfn.XLOOKUP(B399,Summary!$C$10:$C$15,Summary!$B$10:$B$15)),0)</f>
        <v>0</v>
      </c>
    </row>
    <row r="400" spans="1:20" x14ac:dyDescent="0.25">
      <c r="A400">
        <v>49271</v>
      </c>
      <c r="B400" t="s">
        <v>42</v>
      </c>
      <c r="C400" t="s">
        <v>30</v>
      </c>
      <c r="D400" s="11">
        <v>2340</v>
      </c>
      <c r="E400">
        <v>5.04</v>
      </c>
      <c r="F400">
        <v>6</v>
      </c>
      <c r="G400">
        <f t="shared" si="42"/>
        <v>14040</v>
      </c>
      <c r="H400" t="s">
        <v>72</v>
      </c>
      <c r="J400" s="9">
        <v>45610</v>
      </c>
      <c r="K400" t="s">
        <v>40</v>
      </c>
      <c r="L400" t="s">
        <v>31</v>
      </c>
      <c r="M400" t="str">
        <f t="shared" si="43"/>
        <v>Private Industry</v>
      </c>
      <c r="N400" t="str">
        <f t="shared" si="44"/>
        <v>Large Order</v>
      </c>
      <c r="O400">
        <f t="shared" si="45"/>
        <v>0</v>
      </c>
      <c r="P400">
        <f t="shared" si="46"/>
        <v>0</v>
      </c>
      <c r="Q400" t="b">
        <f t="shared" si="47"/>
        <v>0</v>
      </c>
      <c r="R400">
        <f t="shared" si="48"/>
        <v>0</v>
      </c>
      <c r="S400" s="14">
        <f>_xlfn.XLOOKUP(B400,Summary!$C$10:$C$15,Summary!$B$10:$B$15)</f>
        <v>0.24</v>
      </c>
      <c r="T400">
        <f>IF(AND(H400="Yes",L400&lt;&gt;"Government"),G400*(_xlfn.XLOOKUP(B400,Summary!$C$10:$C$15,Summary!$B$10:$B$15)),0)</f>
        <v>0</v>
      </c>
    </row>
    <row r="401" spans="1:20" x14ac:dyDescent="0.25">
      <c r="A401">
        <v>85015</v>
      </c>
      <c r="B401" t="s">
        <v>42</v>
      </c>
      <c r="C401" t="s">
        <v>25</v>
      </c>
      <c r="D401" s="11">
        <v>2579</v>
      </c>
      <c r="E401">
        <v>3.62</v>
      </c>
      <c r="F401">
        <v>5</v>
      </c>
      <c r="G401">
        <f t="shared" si="42"/>
        <v>12895</v>
      </c>
      <c r="H401" t="s">
        <v>72</v>
      </c>
      <c r="J401" s="9">
        <v>45770</v>
      </c>
      <c r="K401" t="s">
        <v>41</v>
      </c>
      <c r="L401" t="s">
        <v>24</v>
      </c>
      <c r="M401" t="str">
        <f t="shared" si="43"/>
        <v>Public Sector</v>
      </c>
      <c r="N401" t="str">
        <f t="shared" si="44"/>
        <v>Large Order</v>
      </c>
      <c r="O401">
        <f t="shared" si="45"/>
        <v>0</v>
      </c>
      <c r="P401">
        <f t="shared" si="46"/>
        <v>0</v>
      </c>
      <c r="Q401" t="b">
        <f t="shared" si="47"/>
        <v>0</v>
      </c>
      <c r="R401">
        <f t="shared" si="48"/>
        <v>0</v>
      </c>
      <c r="S401" s="14">
        <f>_xlfn.XLOOKUP(B401,Summary!$C$10:$C$15,Summary!$B$10:$B$15)</f>
        <v>0.24</v>
      </c>
      <c r="T401">
        <f>IF(AND(H401="Yes",L401&lt;&gt;"Government"),G401*(_xlfn.XLOOKUP(B401,Summary!$C$10:$C$15,Summary!$B$10:$B$15)),0)</f>
        <v>0</v>
      </c>
    </row>
    <row r="402" spans="1:20" x14ac:dyDescent="0.25">
      <c r="A402">
        <v>22745</v>
      </c>
      <c r="B402" t="s">
        <v>44</v>
      </c>
      <c r="C402" t="s">
        <v>36</v>
      </c>
      <c r="D402" s="11">
        <v>345</v>
      </c>
      <c r="E402">
        <v>120.51</v>
      </c>
      <c r="F402">
        <v>175</v>
      </c>
      <c r="G402">
        <f t="shared" si="42"/>
        <v>60375</v>
      </c>
      <c r="H402" t="s">
        <v>71</v>
      </c>
      <c r="J402" s="9">
        <v>45697</v>
      </c>
      <c r="K402" t="s">
        <v>26</v>
      </c>
      <c r="L402" t="s">
        <v>33</v>
      </c>
      <c r="M402" t="str">
        <f t="shared" si="43"/>
        <v>Private Industry</v>
      </c>
      <c r="N402" t="str">
        <f t="shared" si="44"/>
        <v>Small Order</v>
      </c>
      <c r="O402">
        <f t="shared" si="45"/>
        <v>13886.25</v>
      </c>
      <c r="P402">
        <f t="shared" si="46"/>
        <v>13886.25</v>
      </c>
      <c r="Q402" t="b">
        <f t="shared" si="47"/>
        <v>1</v>
      </c>
      <c r="R402">
        <f t="shared" si="48"/>
        <v>13886.25</v>
      </c>
      <c r="S402" s="14">
        <f>_xlfn.XLOOKUP(B402,Summary!$C$10:$C$15,Summary!$B$10:$B$15)</f>
        <v>0.2</v>
      </c>
      <c r="T402">
        <f>IF(AND(H402="Yes",L402&lt;&gt;"Government"),G402*(_xlfn.XLOOKUP(B402,Summary!$C$10:$C$15,Summary!$B$10:$B$15)),0)</f>
        <v>12075</v>
      </c>
    </row>
    <row r="403" spans="1:20" x14ac:dyDescent="0.25">
      <c r="A403">
        <v>87028</v>
      </c>
      <c r="B403" t="s">
        <v>32</v>
      </c>
      <c r="C403" t="s">
        <v>36</v>
      </c>
      <c r="D403" s="11">
        <v>2338</v>
      </c>
      <c r="E403">
        <v>120.52</v>
      </c>
      <c r="F403">
        <v>175</v>
      </c>
      <c r="G403">
        <f t="shared" si="42"/>
        <v>409150</v>
      </c>
      <c r="H403" t="s">
        <v>72</v>
      </c>
      <c r="J403" s="9">
        <v>45537</v>
      </c>
      <c r="K403" t="s">
        <v>40</v>
      </c>
      <c r="L403" t="s">
        <v>24</v>
      </c>
      <c r="M403" t="str">
        <f t="shared" si="43"/>
        <v>Public Sector</v>
      </c>
      <c r="N403" t="str">
        <f t="shared" si="44"/>
        <v>Large Order</v>
      </c>
      <c r="O403">
        <f t="shared" si="45"/>
        <v>0</v>
      </c>
      <c r="P403">
        <f t="shared" si="46"/>
        <v>0</v>
      </c>
      <c r="Q403" t="b">
        <f t="shared" si="47"/>
        <v>0</v>
      </c>
      <c r="R403">
        <f t="shared" si="48"/>
        <v>0</v>
      </c>
      <c r="S403" s="14">
        <f>_xlfn.XLOOKUP(B403,Summary!$C$10:$C$15,Summary!$B$10:$B$15)</f>
        <v>0.23</v>
      </c>
      <c r="T403">
        <f>IF(AND(H403="Yes",L403&lt;&gt;"Government"),G403*(_xlfn.XLOOKUP(B403,Summary!$C$10:$C$15,Summary!$B$10:$B$15)),0)</f>
        <v>0</v>
      </c>
    </row>
    <row r="404" spans="1:20" x14ac:dyDescent="0.25">
      <c r="A404">
        <v>29095</v>
      </c>
      <c r="B404" t="s">
        <v>43</v>
      </c>
      <c r="C404" t="s">
        <v>35</v>
      </c>
      <c r="D404" s="11">
        <v>727</v>
      </c>
      <c r="E404">
        <v>11</v>
      </c>
      <c r="F404">
        <v>16</v>
      </c>
      <c r="G404">
        <f t="shared" si="42"/>
        <v>11632</v>
      </c>
      <c r="H404" t="s">
        <v>71</v>
      </c>
      <c r="J404" s="9">
        <v>45601</v>
      </c>
      <c r="K404" t="s">
        <v>39</v>
      </c>
      <c r="L404" t="s">
        <v>33</v>
      </c>
      <c r="M404" t="str">
        <f t="shared" si="43"/>
        <v>Private Industry</v>
      </c>
      <c r="N404" t="str">
        <f t="shared" si="44"/>
        <v>Small Order</v>
      </c>
      <c r="O404">
        <f t="shared" si="45"/>
        <v>2675.36</v>
      </c>
      <c r="P404">
        <f t="shared" si="46"/>
        <v>2675.36</v>
      </c>
      <c r="Q404" t="b">
        <f t="shared" si="47"/>
        <v>1</v>
      </c>
      <c r="R404">
        <f t="shared" si="48"/>
        <v>2675.36</v>
      </c>
      <c r="S404" s="14">
        <f>_xlfn.XLOOKUP(B404,Summary!$C$10:$C$15,Summary!$B$10:$B$15)</f>
        <v>0.21</v>
      </c>
      <c r="T404">
        <f>IF(AND(H404="Yes",L404&lt;&gt;"Government"),G404*(_xlfn.XLOOKUP(B404,Summary!$C$10:$C$15,Summary!$B$10:$B$15)),0)</f>
        <v>2442.7199999999998</v>
      </c>
    </row>
    <row r="405" spans="1:20" x14ac:dyDescent="0.25">
      <c r="A405">
        <v>53984</v>
      </c>
      <c r="B405" t="s">
        <v>27</v>
      </c>
      <c r="C405" t="s">
        <v>35</v>
      </c>
      <c r="D405" s="11">
        <v>241</v>
      </c>
      <c r="E405">
        <v>10.53</v>
      </c>
      <c r="F405">
        <v>15</v>
      </c>
      <c r="G405">
        <f t="shared" si="42"/>
        <v>3615</v>
      </c>
      <c r="H405" t="s">
        <v>71</v>
      </c>
      <c r="J405" s="9">
        <v>45655</v>
      </c>
      <c r="K405" t="s">
        <v>41</v>
      </c>
      <c r="L405" t="s">
        <v>24</v>
      </c>
      <c r="M405" t="str">
        <f t="shared" si="43"/>
        <v>Public Sector</v>
      </c>
      <c r="N405" t="str">
        <f t="shared" si="44"/>
        <v>Small Order</v>
      </c>
      <c r="O405">
        <f t="shared" si="45"/>
        <v>831.45</v>
      </c>
      <c r="P405">
        <f t="shared" si="46"/>
        <v>0</v>
      </c>
      <c r="Q405" t="b">
        <f t="shared" si="47"/>
        <v>0</v>
      </c>
      <c r="R405">
        <f t="shared" si="48"/>
        <v>0</v>
      </c>
      <c r="S405" s="14">
        <f>_xlfn.XLOOKUP(B405,Summary!$C$10:$C$15,Summary!$B$10:$B$15)</f>
        <v>0.19</v>
      </c>
      <c r="T405">
        <f>IF(AND(H405="Yes",L405&lt;&gt;"Government"),G405*(_xlfn.XLOOKUP(B405,Summary!$C$10:$C$15,Summary!$B$10:$B$15)),0)</f>
        <v>0</v>
      </c>
    </row>
    <row r="406" spans="1:20" x14ac:dyDescent="0.25">
      <c r="A406">
        <v>43218</v>
      </c>
      <c r="B406" t="s">
        <v>27</v>
      </c>
      <c r="C406" t="s">
        <v>35</v>
      </c>
      <c r="D406" s="11">
        <v>1158</v>
      </c>
      <c r="E406">
        <v>10.07</v>
      </c>
      <c r="F406">
        <v>15</v>
      </c>
      <c r="G406">
        <f t="shared" si="42"/>
        <v>17370</v>
      </c>
      <c r="H406" t="s">
        <v>72</v>
      </c>
      <c r="J406" s="9">
        <v>45432</v>
      </c>
      <c r="K406" t="s">
        <v>41</v>
      </c>
      <c r="L406" t="s">
        <v>24</v>
      </c>
      <c r="M406" t="str">
        <f t="shared" si="43"/>
        <v>Public Sector</v>
      </c>
      <c r="N406" t="str">
        <f t="shared" si="44"/>
        <v>Small Order</v>
      </c>
      <c r="O406">
        <f t="shared" si="45"/>
        <v>0</v>
      </c>
      <c r="P406">
        <f t="shared" si="46"/>
        <v>0</v>
      </c>
      <c r="Q406" t="b">
        <f t="shared" si="47"/>
        <v>0</v>
      </c>
      <c r="R406">
        <f t="shared" si="48"/>
        <v>0</v>
      </c>
      <c r="S406" s="14">
        <f>_xlfn.XLOOKUP(B406,Summary!$C$10:$C$15,Summary!$B$10:$B$15)</f>
        <v>0.19</v>
      </c>
      <c r="T406">
        <f>IF(AND(H406="Yes",L406&lt;&gt;"Government"),G406*(_xlfn.XLOOKUP(B406,Summary!$C$10:$C$15,Summary!$B$10:$B$15)),0)</f>
        <v>0</v>
      </c>
    </row>
    <row r="407" spans="1:20" x14ac:dyDescent="0.25">
      <c r="A407">
        <v>87110</v>
      </c>
      <c r="B407" t="s">
        <v>32</v>
      </c>
      <c r="C407" t="s">
        <v>35</v>
      </c>
      <c r="D407" s="11">
        <v>2532</v>
      </c>
      <c r="E407">
        <v>10.23</v>
      </c>
      <c r="F407">
        <v>16</v>
      </c>
      <c r="G407">
        <f t="shared" si="42"/>
        <v>40512</v>
      </c>
      <c r="H407" t="s">
        <v>71</v>
      </c>
      <c r="J407" s="9">
        <v>45639</v>
      </c>
      <c r="K407" t="s">
        <v>41</v>
      </c>
      <c r="L407" t="s">
        <v>24</v>
      </c>
      <c r="M407" t="str">
        <f t="shared" si="43"/>
        <v>Public Sector</v>
      </c>
      <c r="N407" t="str">
        <f t="shared" si="44"/>
        <v>Large Order</v>
      </c>
      <c r="O407">
        <f t="shared" si="45"/>
        <v>9317.76</v>
      </c>
      <c r="P407">
        <f t="shared" si="46"/>
        <v>0</v>
      </c>
      <c r="Q407" t="b">
        <f t="shared" si="47"/>
        <v>0</v>
      </c>
      <c r="R407">
        <f t="shared" si="48"/>
        <v>0</v>
      </c>
      <c r="S407" s="14">
        <f>_xlfn.XLOOKUP(B407,Summary!$C$10:$C$15,Summary!$B$10:$B$15)</f>
        <v>0.23</v>
      </c>
      <c r="T407">
        <f>IF(AND(H407="Yes",L407&lt;&gt;"Government"),G407*(_xlfn.XLOOKUP(B407,Summary!$C$10:$C$15,Summary!$B$10:$B$15)),0)</f>
        <v>0</v>
      </c>
    </row>
    <row r="408" spans="1:20" x14ac:dyDescent="0.25">
      <c r="A408">
        <v>37926</v>
      </c>
      <c r="B408" t="s">
        <v>27</v>
      </c>
      <c r="C408" t="s">
        <v>35</v>
      </c>
      <c r="D408" s="11">
        <v>689</v>
      </c>
      <c r="E408">
        <v>10.62</v>
      </c>
      <c r="F408">
        <v>15</v>
      </c>
      <c r="G408">
        <f t="shared" si="42"/>
        <v>10335</v>
      </c>
      <c r="H408" t="s">
        <v>71</v>
      </c>
      <c r="J408" s="9">
        <v>45235</v>
      </c>
      <c r="K408" t="s">
        <v>39</v>
      </c>
      <c r="L408" t="s">
        <v>34</v>
      </c>
      <c r="M408" t="str">
        <f t="shared" si="43"/>
        <v>Private Industry</v>
      </c>
      <c r="N408" t="str">
        <f t="shared" si="44"/>
        <v>Small Order</v>
      </c>
      <c r="O408">
        <f t="shared" si="45"/>
        <v>2377.0500000000002</v>
      </c>
      <c r="P408">
        <f t="shared" si="46"/>
        <v>2377.0500000000002</v>
      </c>
      <c r="Q408" t="b">
        <f t="shared" si="47"/>
        <v>1</v>
      </c>
      <c r="R408">
        <f t="shared" si="48"/>
        <v>2377.0500000000002</v>
      </c>
      <c r="S408" s="14">
        <f>_xlfn.XLOOKUP(B408,Summary!$C$10:$C$15,Summary!$B$10:$B$15)</f>
        <v>0.19</v>
      </c>
      <c r="T408">
        <f>IF(AND(H408="Yes",L408&lt;&gt;"Government"),G408*(_xlfn.XLOOKUP(B408,Summary!$C$10:$C$15,Summary!$B$10:$B$15)),0)</f>
        <v>1963.65</v>
      </c>
    </row>
    <row r="409" spans="1:20" x14ac:dyDescent="0.25">
      <c r="A409">
        <v>93193</v>
      </c>
      <c r="B409" t="s">
        <v>29</v>
      </c>
      <c r="C409" t="s">
        <v>36</v>
      </c>
      <c r="D409" s="11">
        <v>1190</v>
      </c>
      <c r="E409">
        <v>120.17</v>
      </c>
      <c r="F409">
        <v>125</v>
      </c>
      <c r="G409">
        <f t="shared" si="42"/>
        <v>148750</v>
      </c>
      <c r="H409" t="s">
        <v>72</v>
      </c>
      <c r="J409" s="9">
        <v>45215</v>
      </c>
      <c r="K409" t="s">
        <v>41</v>
      </c>
      <c r="L409" t="s">
        <v>24</v>
      </c>
      <c r="M409" t="str">
        <f t="shared" si="43"/>
        <v>Public Sector</v>
      </c>
      <c r="N409" t="str">
        <f t="shared" si="44"/>
        <v>Small Order</v>
      </c>
      <c r="O409">
        <f t="shared" si="45"/>
        <v>0</v>
      </c>
      <c r="P409">
        <f t="shared" si="46"/>
        <v>0</v>
      </c>
      <c r="Q409" t="b">
        <f t="shared" si="47"/>
        <v>0</v>
      </c>
      <c r="R409">
        <f t="shared" si="48"/>
        <v>0</v>
      </c>
      <c r="S409" s="14">
        <f>_xlfn.XLOOKUP(B409,Summary!$C$10:$C$15,Summary!$B$10:$B$15)</f>
        <v>0.22</v>
      </c>
      <c r="T409">
        <f>IF(AND(H409="Yes",L409&lt;&gt;"Government"),G409*(_xlfn.XLOOKUP(B409,Summary!$C$10:$C$15,Summary!$B$10:$B$15)),0)</f>
        <v>0</v>
      </c>
    </row>
    <row r="410" spans="1:20" x14ac:dyDescent="0.25">
      <c r="A410">
        <v>86096</v>
      </c>
      <c r="B410" t="s">
        <v>32</v>
      </c>
      <c r="C410" t="s">
        <v>35</v>
      </c>
      <c r="D410" s="11">
        <v>2851</v>
      </c>
      <c r="E410">
        <v>10.02</v>
      </c>
      <c r="F410">
        <v>15</v>
      </c>
      <c r="G410">
        <f t="shared" si="42"/>
        <v>42765</v>
      </c>
      <c r="H410" t="s">
        <v>71</v>
      </c>
      <c r="J410" s="9">
        <v>45682</v>
      </c>
      <c r="K410" t="s">
        <v>41</v>
      </c>
      <c r="L410" t="s">
        <v>24</v>
      </c>
      <c r="M410" t="str">
        <f t="shared" si="43"/>
        <v>Public Sector</v>
      </c>
      <c r="N410" t="str">
        <f t="shared" si="44"/>
        <v>Large Order</v>
      </c>
      <c r="O410">
        <f t="shared" si="45"/>
        <v>9835.9500000000007</v>
      </c>
      <c r="P410">
        <f t="shared" si="46"/>
        <v>0</v>
      </c>
      <c r="Q410" t="b">
        <f t="shared" si="47"/>
        <v>0</v>
      </c>
      <c r="R410">
        <f t="shared" si="48"/>
        <v>0</v>
      </c>
      <c r="S410" s="14">
        <f>_xlfn.XLOOKUP(B410,Summary!$C$10:$C$15,Summary!$B$10:$B$15)</f>
        <v>0.23</v>
      </c>
      <c r="T410">
        <f>IF(AND(H410="Yes",L410&lt;&gt;"Government"),G410*(_xlfn.XLOOKUP(B410,Summary!$C$10:$C$15,Summary!$B$10:$B$15)),0)</f>
        <v>0</v>
      </c>
    </row>
    <row r="411" spans="1:20" x14ac:dyDescent="0.25">
      <c r="A411">
        <v>53475</v>
      </c>
      <c r="B411" t="s">
        <v>42</v>
      </c>
      <c r="C411" t="s">
        <v>38</v>
      </c>
      <c r="D411" s="11">
        <v>1870</v>
      </c>
      <c r="E411">
        <v>260.42</v>
      </c>
      <c r="F411">
        <v>318</v>
      </c>
      <c r="G411">
        <f t="shared" si="42"/>
        <v>594660</v>
      </c>
      <c r="H411" t="s">
        <v>71</v>
      </c>
      <c r="J411" s="9">
        <v>45066</v>
      </c>
      <c r="K411" t="s">
        <v>41</v>
      </c>
      <c r="L411" t="s">
        <v>28</v>
      </c>
      <c r="M411" t="str">
        <f t="shared" si="43"/>
        <v>Private Industry</v>
      </c>
      <c r="N411" t="str">
        <f t="shared" si="44"/>
        <v>Large Order</v>
      </c>
      <c r="O411">
        <f t="shared" si="45"/>
        <v>136771.80000000002</v>
      </c>
      <c r="P411">
        <f t="shared" si="46"/>
        <v>136771.80000000002</v>
      </c>
      <c r="Q411" t="b">
        <f t="shared" si="47"/>
        <v>1</v>
      </c>
      <c r="R411">
        <f t="shared" si="48"/>
        <v>136771.80000000002</v>
      </c>
      <c r="S411" s="14">
        <f>_xlfn.XLOOKUP(B411,Summary!$C$10:$C$15,Summary!$B$10:$B$15)</f>
        <v>0.24</v>
      </c>
      <c r="T411">
        <f>IF(AND(H411="Yes",L411&lt;&gt;"Government"),G411*(_xlfn.XLOOKUP(B411,Summary!$C$10:$C$15,Summary!$B$10:$B$15)),0)</f>
        <v>142718.39999999999</v>
      </c>
    </row>
    <row r="412" spans="1:20" x14ac:dyDescent="0.25">
      <c r="A412">
        <v>59814</v>
      </c>
      <c r="B412" t="s">
        <v>29</v>
      </c>
      <c r="C412" t="s">
        <v>38</v>
      </c>
      <c r="D412" s="11">
        <v>853</v>
      </c>
      <c r="E412">
        <v>260.60000000000002</v>
      </c>
      <c r="F412">
        <v>269</v>
      </c>
      <c r="G412">
        <f t="shared" si="42"/>
        <v>229457</v>
      </c>
      <c r="H412" t="s">
        <v>71</v>
      </c>
      <c r="J412" s="9">
        <v>45712</v>
      </c>
      <c r="K412" t="s">
        <v>41</v>
      </c>
      <c r="L412" t="s">
        <v>34</v>
      </c>
      <c r="M412" t="str">
        <f t="shared" si="43"/>
        <v>Private Industry</v>
      </c>
      <c r="N412" t="str">
        <f t="shared" si="44"/>
        <v>Small Order</v>
      </c>
      <c r="O412">
        <f t="shared" si="45"/>
        <v>52775.11</v>
      </c>
      <c r="P412">
        <f t="shared" si="46"/>
        <v>52775.11</v>
      </c>
      <c r="Q412" t="b">
        <f t="shared" si="47"/>
        <v>1</v>
      </c>
      <c r="R412">
        <f t="shared" si="48"/>
        <v>52775.11</v>
      </c>
      <c r="S412" s="14">
        <f>_xlfn.XLOOKUP(B412,Summary!$C$10:$C$15,Summary!$B$10:$B$15)</f>
        <v>0.22</v>
      </c>
      <c r="T412">
        <f>IF(AND(H412="Yes",L412&lt;&gt;"Government"),G412*(_xlfn.XLOOKUP(B412,Summary!$C$10:$C$15,Summary!$B$10:$B$15)),0)</f>
        <v>50480.54</v>
      </c>
    </row>
    <row r="413" spans="1:20" x14ac:dyDescent="0.25">
      <c r="A413">
        <v>82925</v>
      </c>
      <c r="B413" t="s">
        <v>44</v>
      </c>
      <c r="C413" t="s">
        <v>35</v>
      </c>
      <c r="D413" s="11">
        <v>2518</v>
      </c>
      <c r="E413">
        <v>10.77</v>
      </c>
      <c r="F413">
        <v>15</v>
      </c>
      <c r="G413">
        <f t="shared" si="42"/>
        <v>37770</v>
      </c>
      <c r="H413" t="s">
        <v>72</v>
      </c>
      <c r="J413" s="9">
        <v>45610</v>
      </c>
      <c r="K413" t="s">
        <v>26</v>
      </c>
      <c r="L413" t="s">
        <v>31</v>
      </c>
      <c r="M413" t="str">
        <f t="shared" si="43"/>
        <v>Private Industry</v>
      </c>
      <c r="N413" t="str">
        <f t="shared" si="44"/>
        <v>Large Order</v>
      </c>
      <c r="O413">
        <f t="shared" si="45"/>
        <v>0</v>
      </c>
      <c r="P413">
        <f t="shared" si="46"/>
        <v>0</v>
      </c>
      <c r="Q413" t="b">
        <f t="shared" si="47"/>
        <v>0</v>
      </c>
      <c r="R413">
        <f t="shared" si="48"/>
        <v>0</v>
      </c>
      <c r="S413" s="14">
        <f>_xlfn.XLOOKUP(B413,Summary!$C$10:$C$15,Summary!$B$10:$B$15)</f>
        <v>0.2</v>
      </c>
      <c r="T413">
        <f>IF(AND(H413="Yes",L413&lt;&gt;"Government"),G413*(_xlfn.XLOOKUP(B413,Summary!$C$10:$C$15,Summary!$B$10:$B$15)),0)</f>
        <v>0</v>
      </c>
    </row>
    <row r="414" spans="1:20" x14ac:dyDescent="0.25">
      <c r="A414">
        <v>29583</v>
      </c>
      <c r="B414" t="s">
        <v>44</v>
      </c>
      <c r="C414" t="s">
        <v>36</v>
      </c>
      <c r="D414" s="11">
        <v>269</v>
      </c>
      <c r="E414">
        <v>120.3</v>
      </c>
      <c r="F414">
        <v>138</v>
      </c>
      <c r="G414">
        <f t="shared" si="42"/>
        <v>37122</v>
      </c>
      <c r="H414" t="s">
        <v>72</v>
      </c>
      <c r="J414" s="9">
        <v>45097</v>
      </c>
      <c r="K414" t="s">
        <v>41</v>
      </c>
      <c r="L414" t="s">
        <v>34</v>
      </c>
      <c r="M414" t="str">
        <f t="shared" si="43"/>
        <v>Private Industry</v>
      </c>
      <c r="N414" t="str">
        <f t="shared" si="44"/>
        <v>Small Order</v>
      </c>
      <c r="O414">
        <f t="shared" si="45"/>
        <v>0</v>
      </c>
      <c r="P414">
        <f t="shared" si="46"/>
        <v>0</v>
      </c>
      <c r="Q414" t="b">
        <f t="shared" si="47"/>
        <v>0</v>
      </c>
      <c r="R414">
        <f t="shared" si="48"/>
        <v>0</v>
      </c>
      <c r="S414" s="14">
        <f>_xlfn.XLOOKUP(B414,Summary!$C$10:$C$15,Summary!$B$10:$B$15)</f>
        <v>0.2</v>
      </c>
      <c r="T414">
        <f>IF(AND(H414="Yes",L414&lt;&gt;"Government"),G414*(_xlfn.XLOOKUP(B414,Summary!$C$10:$C$15,Summary!$B$10:$B$15)),0)</f>
        <v>0</v>
      </c>
    </row>
    <row r="415" spans="1:20" x14ac:dyDescent="0.25">
      <c r="A415">
        <v>25273</v>
      </c>
      <c r="B415" t="s">
        <v>43</v>
      </c>
      <c r="C415" t="s">
        <v>25</v>
      </c>
      <c r="D415" s="11">
        <v>274</v>
      </c>
      <c r="E415">
        <v>3.84</v>
      </c>
      <c r="F415">
        <v>4</v>
      </c>
      <c r="G415">
        <f t="shared" si="42"/>
        <v>1096</v>
      </c>
      <c r="H415" t="s">
        <v>71</v>
      </c>
      <c r="J415" s="9">
        <v>45569</v>
      </c>
      <c r="K415" t="s">
        <v>39</v>
      </c>
      <c r="L415" t="s">
        <v>24</v>
      </c>
      <c r="M415" t="str">
        <f t="shared" si="43"/>
        <v>Public Sector</v>
      </c>
      <c r="N415" t="str">
        <f t="shared" si="44"/>
        <v>Small Order</v>
      </c>
      <c r="O415">
        <f t="shared" si="45"/>
        <v>252.08</v>
      </c>
      <c r="P415">
        <f t="shared" si="46"/>
        <v>0</v>
      </c>
      <c r="Q415" t="b">
        <f t="shared" si="47"/>
        <v>0</v>
      </c>
      <c r="R415">
        <f t="shared" si="48"/>
        <v>0</v>
      </c>
      <c r="S415" s="14">
        <f>_xlfn.XLOOKUP(B415,Summary!$C$10:$C$15,Summary!$B$10:$B$15)</f>
        <v>0.21</v>
      </c>
      <c r="T415">
        <f>IF(AND(H415="Yes",L415&lt;&gt;"Government"),G415*(_xlfn.XLOOKUP(B415,Summary!$C$10:$C$15,Summary!$B$10:$B$15)),0)</f>
        <v>0</v>
      </c>
    </row>
    <row r="416" spans="1:20" x14ac:dyDescent="0.25">
      <c r="A416">
        <v>71327</v>
      </c>
      <c r="B416" t="s">
        <v>29</v>
      </c>
      <c r="C416" t="s">
        <v>35</v>
      </c>
      <c r="D416" s="11">
        <v>1731</v>
      </c>
      <c r="E416">
        <v>10.81</v>
      </c>
      <c r="F416">
        <v>12</v>
      </c>
      <c r="G416">
        <f t="shared" si="42"/>
        <v>20772</v>
      </c>
      <c r="H416" t="s">
        <v>71</v>
      </c>
      <c r="J416" s="9">
        <v>45726</v>
      </c>
      <c r="K416" t="s">
        <v>41</v>
      </c>
      <c r="L416" t="s">
        <v>24</v>
      </c>
      <c r="M416" t="str">
        <f t="shared" si="43"/>
        <v>Public Sector</v>
      </c>
      <c r="N416" t="str">
        <f t="shared" si="44"/>
        <v>Large Order</v>
      </c>
      <c r="O416">
        <f t="shared" si="45"/>
        <v>4777.5600000000004</v>
      </c>
      <c r="P416">
        <f t="shared" si="46"/>
        <v>0</v>
      </c>
      <c r="Q416" t="b">
        <f t="shared" si="47"/>
        <v>0</v>
      </c>
      <c r="R416">
        <f t="shared" si="48"/>
        <v>0</v>
      </c>
      <c r="S416" s="14">
        <f>_xlfn.XLOOKUP(B416,Summary!$C$10:$C$15,Summary!$B$10:$B$15)</f>
        <v>0.22</v>
      </c>
      <c r="T416">
        <f>IF(AND(H416="Yes",L416&lt;&gt;"Government"),G416*(_xlfn.XLOOKUP(B416,Summary!$C$10:$C$15,Summary!$B$10:$B$15)),0)</f>
        <v>0</v>
      </c>
    </row>
    <row r="417" spans="1:20" x14ac:dyDescent="0.25">
      <c r="A417">
        <v>96220</v>
      </c>
      <c r="B417" t="s">
        <v>43</v>
      </c>
      <c r="C417" t="s">
        <v>36</v>
      </c>
      <c r="D417" s="11">
        <v>736</v>
      </c>
      <c r="E417">
        <v>120.31</v>
      </c>
      <c r="F417">
        <v>147</v>
      </c>
      <c r="G417">
        <f t="shared" si="42"/>
        <v>108192</v>
      </c>
      <c r="H417" t="s">
        <v>71</v>
      </c>
      <c r="J417" s="9">
        <v>45273</v>
      </c>
      <c r="K417" t="s">
        <v>39</v>
      </c>
      <c r="L417" t="s">
        <v>24</v>
      </c>
      <c r="M417" t="str">
        <f t="shared" si="43"/>
        <v>Public Sector</v>
      </c>
      <c r="N417" t="str">
        <f t="shared" si="44"/>
        <v>Small Order</v>
      </c>
      <c r="O417">
        <f t="shared" si="45"/>
        <v>24884.16</v>
      </c>
      <c r="P417">
        <f t="shared" si="46"/>
        <v>0</v>
      </c>
      <c r="Q417" t="b">
        <f t="shared" si="47"/>
        <v>0</v>
      </c>
      <c r="R417">
        <f t="shared" si="48"/>
        <v>0</v>
      </c>
      <c r="S417" s="14">
        <f>_xlfn.XLOOKUP(B417,Summary!$C$10:$C$15,Summary!$B$10:$B$15)</f>
        <v>0.21</v>
      </c>
      <c r="T417">
        <f>IF(AND(H417="Yes",L417&lt;&gt;"Government"),G417*(_xlfn.XLOOKUP(B417,Summary!$C$10:$C$15,Summary!$B$10:$B$15)),0)</f>
        <v>0</v>
      </c>
    </row>
    <row r="418" spans="1:20" x14ac:dyDescent="0.25">
      <c r="A418">
        <v>62898</v>
      </c>
      <c r="B418" t="s">
        <v>44</v>
      </c>
      <c r="C418" t="s">
        <v>35</v>
      </c>
      <c r="D418" s="11">
        <v>257</v>
      </c>
      <c r="E418">
        <v>10.96</v>
      </c>
      <c r="F418">
        <v>15</v>
      </c>
      <c r="G418">
        <f t="shared" si="42"/>
        <v>3855</v>
      </c>
      <c r="H418" t="s">
        <v>72</v>
      </c>
      <c r="J418" s="9">
        <v>45738</v>
      </c>
      <c r="K418" t="s">
        <v>40</v>
      </c>
      <c r="L418" t="s">
        <v>24</v>
      </c>
      <c r="M418" t="str">
        <f t="shared" si="43"/>
        <v>Public Sector</v>
      </c>
      <c r="N418" t="str">
        <f t="shared" si="44"/>
        <v>Small Order</v>
      </c>
      <c r="O418">
        <f t="shared" si="45"/>
        <v>0</v>
      </c>
      <c r="P418">
        <f t="shared" si="46"/>
        <v>0</v>
      </c>
      <c r="Q418" t="b">
        <f t="shared" si="47"/>
        <v>0</v>
      </c>
      <c r="R418">
        <f t="shared" si="48"/>
        <v>0</v>
      </c>
      <c r="S418" s="14">
        <f>_xlfn.XLOOKUP(B418,Summary!$C$10:$C$15,Summary!$B$10:$B$15)</f>
        <v>0.2</v>
      </c>
      <c r="T418">
        <f>IF(AND(H418="Yes",L418&lt;&gt;"Government"),G418*(_xlfn.XLOOKUP(B418,Summary!$C$10:$C$15,Summary!$B$10:$B$15)),0)</f>
        <v>0</v>
      </c>
    </row>
    <row r="419" spans="1:20" x14ac:dyDescent="0.25">
      <c r="A419">
        <v>76341</v>
      </c>
      <c r="B419" t="s">
        <v>29</v>
      </c>
      <c r="C419" t="s">
        <v>37</v>
      </c>
      <c r="D419" s="11">
        <v>1227</v>
      </c>
      <c r="E419">
        <v>250.24</v>
      </c>
      <c r="F419">
        <v>273</v>
      </c>
      <c r="G419">
        <f t="shared" si="42"/>
        <v>334971</v>
      </c>
      <c r="H419" t="s">
        <v>72</v>
      </c>
      <c r="J419" s="9">
        <v>45277</v>
      </c>
      <c r="K419" t="s">
        <v>40</v>
      </c>
      <c r="L419" t="s">
        <v>28</v>
      </c>
      <c r="M419" t="str">
        <f t="shared" si="43"/>
        <v>Private Industry</v>
      </c>
      <c r="N419" t="str">
        <f t="shared" si="44"/>
        <v>Small Order</v>
      </c>
      <c r="O419">
        <f t="shared" si="45"/>
        <v>0</v>
      </c>
      <c r="P419">
        <f t="shared" si="46"/>
        <v>0</v>
      </c>
      <c r="Q419" t="b">
        <f t="shared" si="47"/>
        <v>0</v>
      </c>
      <c r="R419">
        <f t="shared" si="48"/>
        <v>0</v>
      </c>
      <c r="S419" s="14">
        <f>_xlfn.XLOOKUP(B419,Summary!$C$10:$C$15,Summary!$B$10:$B$15)</f>
        <v>0.22</v>
      </c>
      <c r="T419">
        <f>IF(AND(H419="Yes",L419&lt;&gt;"Government"),G419*(_xlfn.XLOOKUP(B419,Summary!$C$10:$C$15,Summary!$B$10:$B$15)),0)</f>
        <v>0</v>
      </c>
    </row>
    <row r="420" spans="1:20" x14ac:dyDescent="0.25">
      <c r="A420">
        <v>93961</v>
      </c>
      <c r="B420" t="s">
        <v>42</v>
      </c>
      <c r="C420" t="s">
        <v>36</v>
      </c>
      <c r="D420" s="11">
        <v>544</v>
      </c>
      <c r="E420">
        <v>120.83</v>
      </c>
      <c r="F420">
        <v>129</v>
      </c>
      <c r="G420">
        <f t="shared" si="42"/>
        <v>70176</v>
      </c>
      <c r="H420" t="s">
        <v>72</v>
      </c>
      <c r="J420" s="9">
        <v>45770</v>
      </c>
      <c r="K420" t="s">
        <v>39</v>
      </c>
      <c r="L420" t="s">
        <v>24</v>
      </c>
      <c r="M420" t="str">
        <f t="shared" si="43"/>
        <v>Public Sector</v>
      </c>
      <c r="N420" t="str">
        <f t="shared" si="44"/>
        <v>Small Order</v>
      </c>
      <c r="O420">
        <f t="shared" si="45"/>
        <v>0</v>
      </c>
      <c r="P420">
        <f t="shared" si="46"/>
        <v>0</v>
      </c>
      <c r="Q420" t="b">
        <f t="shared" si="47"/>
        <v>0</v>
      </c>
      <c r="R420">
        <f t="shared" si="48"/>
        <v>0</v>
      </c>
      <c r="S420" s="14">
        <f>_xlfn.XLOOKUP(B420,Summary!$C$10:$C$15,Summary!$B$10:$B$15)</f>
        <v>0.24</v>
      </c>
      <c r="T420">
        <f>IF(AND(H420="Yes",L420&lt;&gt;"Government"),G420*(_xlfn.XLOOKUP(B420,Summary!$C$10:$C$15,Summary!$B$10:$B$15)),0)</f>
        <v>0</v>
      </c>
    </row>
    <row r="421" spans="1:20" x14ac:dyDescent="0.25">
      <c r="A421">
        <v>74064</v>
      </c>
      <c r="B421" t="s">
        <v>27</v>
      </c>
      <c r="C421" t="s">
        <v>37</v>
      </c>
      <c r="D421" s="11">
        <v>1642</v>
      </c>
      <c r="E421">
        <v>250.1</v>
      </c>
      <c r="F421">
        <v>338</v>
      </c>
      <c r="G421">
        <f t="shared" si="42"/>
        <v>554996</v>
      </c>
      <c r="H421" t="s">
        <v>71</v>
      </c>
      <c r="J421" s="9">
        <v>45588</v>
      </c>
      <c r="K421" t="s">
        <v>39</v>
      </c>
      <c r="L421" t="s">
        <v>24</v>
      </c>
      <c r="M421" t="str">
        <f t="shared" si="43"/>
        <v>Public Sector</v>
      </c>
      <c r="N421" t="str">
        <f t="shared" si="44"/>
        <v>Large Order</v>
      </c>
      <c r="O421">
        <f t="shared" si="45"/>
        <v>127649.08</v>
      </c>
      <c r="P421">
        <f t="shared" si="46"/>
        <v>0</v>
      </c>
      <c r="Q421" t="b">
        <f t="shared" si="47"/>
        <v>0</v>
      </c>
      <c r="R421">
        <f t="shared" si="48"/>
        <v>0</v>
      </c>
      <c r="S421" s="14">
        <f>_xlfn.XLOOKUP(B421,Summary!$C$10:$C$15,Summary!$B$10:$B$15)</f>
        <v>0.19</v>
      </c>
      <c r="T421">
        <f>IF(AND(H421="Yes",L421&lt;&gt;"Government"),G421*(_xlfn.XLOOKUP(B421,Summary!$C$10:$C$15,Summary!$B$10:$B$15)),0)</f>
        <v>0</v>
      </c>
    </row>
    <row r="422" spans="1:20" x14ac:dyDescent="0.25">
      <c r="A422">
        <v>93533</v>
      </c>
      <c r="B422" t="s">
        <v>44</v>
      </c>
      <c r="C422" t="s">
        <v>38</v>
      </c>
      <c r="D422" s="11">
        <v>1228</v>
      </c>
      <c r="E422">
        <v>260.24</v>
      </c>
      <c r="F422">
        <v>357</v>
      </c>
      <c r="G422">
        <f t="shared" si="42"/>
        <v>438396</v>
      </c>
      <c r="H422" t="s">
        <v>71</v>
      </c>
      <c r="J422" s="9">
        <v>45330</v>
      </c>
      <c r="K422" t="s">
        <v>40</v>
      </c>
      <c r="L422" t="s">
        <v>24</v>
      </c>
      <c r="M422" t="str">
        <f t="shared" si="43"/>
        <v>Public Sector</v>
      </c>
      <c r="N422" t="str">
        <f t="shared" si="44"/>
        <v>Small Order</v>
      </c>
      <c r="O422">
        <f t="shared" si="45"/>
        <v>100831.08</v>
      </c>
      <c r="P422">
        <f t="shared" si="46"/>
        <v>0</v>
      </c>
      <c r="Q422" t="b">
        <f t="shared" si="47"/>
        <v>0</v>
      </c>
      <c r="R422">
        <f t="shared" si="48"/>
        <v>0</v>
      </c>
      <c r="S422" s="14">
        <f>_xlfn.XLOOKUP(B422,Summary!$C$10:$C$15,Summary!$B$10:$B$15)</f>
        <v>0.2</v>
      </c>
      <c r="T422">
        <f>IF(AND(H422="Yes",L422&lt;&gt;"Government"),G422*(_xlfn.XLOOKUP(B422,Summary!$C$10:$C$15,Summary!$B$10:$B$15)),0)</f>
        <v>0</v>
      </c>
    </row>
    <row r="423" spans="1:20" x14ac:dyDescent="0.25">
      <c r="A423">
        <v>83502</v>
      </c>
      <c r="B423" t="s">
        <v>29</v>
      </c>
      <c r="C423" t="s">
        <v>35</v>
      </c>
      <c r="D423" s="11">
        <v>1227</v>
      </c>
      <c r="E423">
        <v>10.46</v>
      </c>
      <c r="F423">
        <v>16</v>
      </c>
      <c r="G423">
        <f t="shared" si="42"/>
        <v>19632</v>
      </c>
      <c r="H423" t="s">
        <v>72</v>
      </c>
      <c r="J423" s="9">
        <v>45547</v>
      </c>
      <c r="K423" t="s">
        <v>40</v>
      </c>
      <c r="L423" t="s">
        <v>28</v>
      </c>
      <c r="M423" t="str">
        <f t="shared" si="43"/>
        <v>Private Industry</v>
      </c>
      <c r="N423" t="str">
        <f t="shared" si="44"/>
        <v>Small Order</v>
      </c>
      <c r="O423">
        <f t="shared" si="45"/>
        <v>0</v>
      </c>
      <c r="P423">
        <f t="shared" si="46"/>
        <v>0</v>
      </c>
      <c r="Q423" t="b">
        <f t="shared" si="47"/>
        <v>0</v>
      </c>
      <c r="R423">
        <f t="shared" si="48"/>
        <v>0</v>
      </c>
      <c r="S423" s="14">
        <f>_xlfn.XLOOKUP(B423,Summary!$C$10:$C$15,Summary!$B$10:$B$15)</f>
        <v>0.22</v>
      </c>
      <c r="T423">
        <f>IF(AND(H423="Yes",L423&lt;&gt;"Government"),G423*(_xlfn.XLOOKUP(B423,Summary!$C$10:$C$15,Summary!$B$10:$B$15)),0)</f>
        <v>0</v>
      </c>
    </row>
    <row r="424" spans="1:20" x14ac:dyDescent="0.25">
      <c r="A424">
        <v>69292</v>
      </c>
      <c r="B424" t="s">
        <v>27</v>
      </c>
      <c r="C424" t="s">
        <v>30</v>
      </c>
      <c r="D424" s="11">
        <v>2992</v>
      </c>
      <c r="E424">
        <v>5.7</v>
      </c>
      <c r="F424">
        <v>9</v>
      </c>
      <c r="G424">
        <f t="shared" si="42"/>
        <v>26928</v>
      </c>
      <c r="H424" t="s">
        <v>72</v>
      </c>
      <c r="J424" s="9">
        <v>45429</v>
      </c>
      <c r="K424" t="s">
        <v>41</v>
      </c>
      <c r="L424" t="s">
        <v>24</v>
      </c>
      <c r="M424" t="str">
        <f t="shared" si="43"/>
        <v>Public Sector</v>
      </c>
      <c r="N424" t="str">
        <f t="shared" si="44"/>
        <v>Large Order</v>
      </c>
      <c r="O424">
        <f t="shared" si="45"/>
        <v>0</v>
      </c>
      <c r="P424">
        <f t="shared" si="46"/>
        <v>0</v>
      </c>
      <c r="Q424" t="b">
        <f t="shared" si="47"/>
        <v>0</v>
      </c>
      <c r="R424">
        <f t="shared" si="48"/>
        <v>0</v>
      </c>
      <c r="S424" s="14">
        <f>_xlfn.XLOOKUP(B424,Summary!$C$10:$C$15,Summary!$B$10:$B$15)</f>
        <v>0.19</v>
      </c>
      <c r="T424">
        <f>IF(AND(H424="Yes",L424&lt;&gt;"Government"),G424*(_xlfn.XLOOKUP(B424,Summary!$C$10:$C$15,Summary!$B$10:$B$15)),0)</f>
        <v>0</v>
      </c>
    </row>
    <row r="425" spans="1:20" x14ac:dyDescent="0.25">
      <c r="A425">
        <v>85496</v>
      </c>
      <c r="B425" t="s">
        <v>42</v>
      </c>
      <c r="C425" t="s">
        <v>38</v>
      </c>
      <c r="D425" s="11">
        <v>1101</v>
      </c>
      <c r="E425">
        <v>260.14999999999998</v>
      </c>
      <c r="F425">
        <v>320</v>
      </c>
      <c r="G425">
        <f t="shared" si="42"/>
        <v>352320</v>
      </c>
      <c r="H425" t="s">
        <v>72</v>
      </c>
      <c r="J425" s="9">
        <v>45310</v>
      </c>
      <c r="K425" t="s">
        <v>39</v>
      </c>
      <c r="L425" t="s">
        <v>34</v>
      </c>
      <c r="M425" t="str">
        <f t="shared" si="43"/>
        <v>Private Industry</v>
      </c>
      <c r="N425" t="str">
        <f t="shared" si="44"/>
        <v>Small Order</v>
      </c>
      <c r="O425">
        <f t="shared" si="45"/>
        <v>0</v>
      </c>
      <c r="P425">
        <f t="shared" si="46"/>
        <v>0</v>
      </c>
      <c r="Q425" t="b">
        <f t="shared" si="47"/>
        <v>0</v>
      </c>
      <c r="R425">
        <f t="shared" si="48"/>
        <v>0</v>
      </c>
      <c r="S425" s="14">
        <f>_xlfn.XLOOKUP(B425,Summary!$C$10:$C$15,Summary!$B$10:$B$15)</f>
        <v>0.24</v>
      </c>
      <c r="T425">
        <f>IF(AND(H425="Yes",L425&lt;&gt;"Government"),G425*(_xlfn.XLOOKUP(B425,Summary!$C$10:$C$15,Summary!$B$10:$B$15)),0)</f>
        <v>0</v>
      </c>
    </row>
    <row r="426" spans="1:20" x14ac:dyDescent="0.25">
      <c r="A426">
        <v>54455</v>
      </c>
      <c r="B426" t="s">
        <v>29</v>
      </c>
      <c r="C426" t="s">
        <v>38</v>
      </c>
      <c r="D426" s="11">
        <v>2072</v>
      </c>
      <c r="E426">
        <v>260.69</v>
      </c>
      <c r="F426">
        <v>285</v>
      </c>
      <c r="G426">
        <f t="shared" si="42"/>
        <v>590520</v>
      </c>
      <c r="H426" t="s">
        <v>72</v>
      </c>
      <c r="J426" s="9">
        <v>45310</v>
      </c>
      <c r="K426" t="s">
        <v>41</v>
      </c>
      <c r="L426" t="s">
        <v>28</v>
      </c>
      <c r="M426" t="str">
        <f t="shared" si="43"/>
        <v>Private Industry</v>
      </c>
      <c r="N426" t="str">
        <f t="shared" si="44"/>
        <v>Large Order</v>
      </c>
      <c r="O426">
        <f t="shared" si="45"/>
        <v>0</v>
      </c>
      <c r="P426">
        <f t="shared" si="46"/>
        <v>0</v>
      </c>
      <c r="Q426" t="b">
        <f t="shared" si="47"/>
        <v>0</v>
      </c>
      <c r="R426">
        <f t="shared" si="48"/>
        <v>0</v>
      </c>
      <c r="S426" s="14">
        <f>_xlfn.XLOOKUP(B426,Summary!$C$10:$C$15,Summary!$B$10:$B$15)</f>
        <v>0.22</v>
      </c>
      <c r="T426">
        <f>IF(AND(H426="Yes",L426&lt;&gt;"Government"),G426*(_xlfn.XLOOKUP(B426,Summary!$C$10:$C$15,Summary!$B$10:$B$15)),0)</f>
        <v>0</v>
      </c>
    </row>
    <row r="427" spans="1:20" x14ac:dyDescent="0.25">
      <c r="A427">
        <v>46068</v>
      </c>
      <c r="B427" t="s">
        <v>29</v>
      </c>
      <c r="C427" t="s">
        <v>35</v>
      </c>
      <c r="D427" s="11">
        <v>1535</v>
      </c>
      <c r="E427">
        <v>10.53</v>
      </c>
      <c r="F427">
        <v>12</v>
      </c>
      <c r="G427">
        <f t="shared" si="42"/>
        <v>18420</v>
      </c>
      <c r="H427" t="s">
        <v>72</v>
      </c>
      <c r="J427" s="9">
        <v>45702</v>
      </c>
      <c r="K427" t="s">
        <v>40</v>
      </c>
      <c r="L427" t="s">
        <v>24</v>
      </c>
      <c r="M427" t="str">
        <f t="shared" si="43"/>
        <v>Public Sector</v>
      </c>
      <c r="N427" t="str">
        <f t="shared" si="44"/>
        <v>Large Order</v>
      </c>
      <c r="O427">
        <f t="shared" si="45"/>
        <v>0</v>
      </c>
      <c r="P427">
        <f t="shared" si="46"/>
        <v>0</v>
      </c>
      <c r="Q427" t="b">
        <f t="shared" si="47"/>
        <v>0</v>
      </c>
      <c r="R427">
        <f t="shared" si="48"/>
        <v>0</v>
      </c>
      <c r="S427" s="14">
        <f>_xlfn.XLOOKUP(B427,Summary!$C$10:$C$15,Summary!$B$10:$B$15)</f>
        <v>0.22</v>
      </c>
      <c r="T427">
        <f>IF(AND(H427="Yes",L427&lt;&gt;"Government"),G427*(_xlfn.XLOOKUP(B427,Summary!$C$10:$C$15,Summary!$B$10:$B$15)),0)</f>
        <v>0</v>
      </c>
    </row>
    <row r="428" spans="1:20" x14ac:dyDescent="0.25">
      <c r="A428">
        <v>86901</v>
      </c>
      <c r="B428" t="s">
        <v>29</v>
      </c>
      <c r="C428" t="s">
        <v>35</v>
      </c>
      <c r="D428" s="11">
        <v>1055</v>
      </c>
      <c r="E428">
        <v>10.33</v>
      </c>
      <c r="F428">
        <v>15</v>
      </c>
      <c r="G428">
        <f t="shared" si="42"/>
        <v>15825</v>
      </c>
      <c r="H428" t="s">
        <v>72</v>
      </c>
      <c r="J428" s="9">
        <v>45719</v>
      </c>
      <c r="K428" t="s">
        <v>39</v>
      </c>
      <c r="L428" t="s">
        <v>31</v>
      </c>
      <c r="M428" t="str">
        <f t="shared" si="43"/>
        <v>Private Industry</v>
      </c>
      <c r="N428" t="str">
        <f t="shared" si="44"/>
        <v>Small Order</v>
      </c>
      <c r="O428">
        <f t="shared" si="45"/>
        <v>0</v>
      </c>
      <c r="P428">
        <f t="shared" si="46"/>
        <v>0</v>
      </c>
      <c r="Q428" t="b">
        <f t="shared" si="47"/>
        <v>0</v>
      </c>
      <c r="R428">
        <f t="shared" si="48"/>
        <v>0</v>
      </c>
      <c r="S428" s="14">
        <f>_xlfn.XLOOKUP(B428,Summary!$C$10:$C$15,Summary!$B$10:$B$15)</f>
        <v>0.22</v>
      </c>
      <c r="T428">
        <f>IF(AND(H428="Yes",L428&lt;&gt;"Government"),G428*(_xlfn.XLOOKUP(B428,Summary!$C$10:$C$15,Summary!$B$10:$B$15)),0)</f>
        <v>0</v>
      </c>
    </row>
    <row r="429" spans="1:20" x14ac:dyDescent="0.25">
      <c r="A429">
        <v>20733</v>
      </c>
      <c r="B429" t="s">
        <v>27</v>
      </c>
      <c r="C429" t="s">
        <v>38</v>
      </c>
      <c r="D429" s="11">
        <v>2966</v>
      </c>
      <c r="E429">
        <v>260.10000000000002</v>
      </c>
      <c r="F429">
        <v>266</v>
      </c>
      <c r="G429">
        <f t="shared" si="42"/>
        <v>788956</v>
      </c>
      <c r="H429" t="s">
        <v>71</v>
      </c>
      <c r="J429" s="9">
        <v>45142</v>
      </c>
      <c r="K429" t="s">
        <v>39</v>
      </c>
      <c r="L429" t="s">
        <v>24</v>
      </c>
      <c r="M429" t="str">
        <f t="shared" si="43"/>
        <v>Public Sector</v>
      </c>
      <c r="N429" t="str">
        <f t="shared" si="44"/>
        <v>Large Order</v>
      </c>
      <c r="O429">
        <f t="shared" si="45"/>
        <v>181459.88</v>
      </c>
      <c r="P429">
        <f t="shared" si="46"/>
        <v>0</v>
      </c>
      <c r="Q429" t="b">
        <f t="shared" si="47"/>
        <v>0</v>
      </c>
      <c r="R429">
        <f t="shared" si="48"/>
        <v>0</v>
      </c>
      <c r="S429" s="14">
        <f>_xlfn.XLOOKUP(B429,Summary!$C$10:$C$15,Summary!$B$10:$B$15)</f>
        <v>0.19</v>
      </c>
      <c r="T429">
        <f>IF(AND(H429="Yes",L429&lt;&gt;"Government"),G429*(_xlfn.XLOOKUP(B429,Summary!$C$10:$C$15,Summary!$B$10:$B$15)),0)</f>
        <v>0</v>
      </c>
    </row>
    <row r="430" spans="1:20" x14ac:dyDescent="0.25">
      <c r="A430">
        <v>43969</v>
      </c>
      <c r="B430" t="s">
        <v>43</v>
      </c>
      <c r="C430" t="s">
        <v>38</v>
      </c>
      <c r="D430" s="11">
        <v>1236</v>
      </c>
      <c r="E430">
        <v>260.5</v>
      </c>
      <c r="F430">
        <v>386</v>
      </c>
      <c r="G430">
        <f t="shared" si="42"/>
        <v>477096</v>
      </c>
      <c r="H430" t="s">
        <v>71</v>
      </c>
      <c r="J430" s="9">
        <v>45542</v>
      </c>
      <c r="K430" t="s">
        <v>39</v>
      </c>
      <c r="L430" t="s">
        <v>24</v>
      </c>
      <c r="M430" t="str">
        <f t="shared" si="43"/>
        <v>Public Sector</v>
      </c>
      <c r="N430" t="str">
        <f t="shared" si="44"/>
        <v>Small Order</v>
      </c>
      <c r="O430">
        <f t="shared" si="45"/>
        <v>109732.08</v>
      </c>
      <c r="P430">
        <f t="shared" si="46"/>
        <v>0</v>
      </c>
      <c r="Q430" t="b">
        <f t="shared" si="47"/>
        <v>0</v>
      </c>
      <c r="R430">
        <f t="shared" si="48"/>
        <v>0</v>
      </c>
      <c r="S430" s="14">
        <f>_xlfn.XLOOKUP(B430,Summary!$C$10:$C$15,Summary!$B$10:$B$15)</f>
        <v>0.21</v>
      </c>
      <c r="T430">
        <f>IF(AND(H430="Yes",L430&lt;&gt;"Government"),G430*(_xlfn.XLOOKUP(B430,Summary!$C$10:$C$15,Summary!$B$10:$B$15)),0)</f>
        <v>0</v>
      </c>
    </row>
    <row r="431" spans="1:20" x14ac:dyDescent="0.25">
      <c r="A431">
        <v>26856</v>
      </c>
      <c r="B431" t="s">
        <v>29</v>
      </c>
      <c r="C431" t="s">
        <v>35</v>
      </c>
      <c r="D431" s="11">
        <v>1757</v>
      </c>
      <c r="E431">
        <v>10.41</v>
      </c>
      <c r="F431">
        <v>16</v>
      </c>
      <c r="G431">
        <f t="shared" si="42"/>
        <v>28112</v>
      </c>
      <c r="H431" t="s">
        <v>72</v>
      </c>
      <c r="J431" s="9">
        <v>45747</v>
      </c>
      <c r="K431" t="s">
        <v>40</v>
      </c>
      <c r="L431" t="s">
        <v>24</v>
      </c>
      <c r="M431" t="str">
        <f t="shared" si="43"/>
        <v>Public Sector</v>
      </c>
      <c r="N431" t="str">
        <f t="shared" si="44"/>
        <v>Large Order</v>
      </c>
      <c r="O431">
        <f t="shared" si="45"/>
        <v>0</v>
      </c>
      <c r="P431">
        <f t="shared" si="46"/>
        <v>0</v>
      </c>
      <c r="Q431" t="b">
        <f t="shared" si="47"/>
        <v>0</v>
      </c>
      <c r="R431">
        <f t="shared" si="48"/>
        <v>0</v>
      </c>
      <c r="S431" s="14">
        <f>_xlfn.XLOOKUP(B431,Summary!$C$10:$C$15,Summary!$B$10:$B$15)</f>
        <v>0.22</v>
      </c>
      <c r="T431">
        <f>IF(AND(H431="Yes",L431&lt;&gt;"Government"),G431*(_xlfn.XLOOKUP(B431,Summary!$C$10:$C$15,Summary!$B$10:$B$15)),0)</f>
        <v>0</v>
      </c>
    </row>
    <row r="432" spans="1:20" x14ac:dyDescent="0.25">
      <c r="A432">
        <v>16197</v>
      </c>
      <c r="B432" t="s">
        <v>29</v>
      </c>
      <c r="C432" t="s">
        <v>35</v>
      </c>
      <c r="D432" s="11">
        <v>704</v>
      </c>
      <c r="E432">
        <v>10.54</v>
      </c>
      <c r="F432">
        <v>15</v>
      </c>
      <c r="G432">
        <f t="shared" si="42"/>
        <v>10560</v>
      </c>
      <c r="H432" t="s">
        <v>72</v>
      </c>
      <c r="J432" s="9">
        <v>45091</v>
      </c>
      <c r="K432" t="s">
        <v>40</v>
      </c>
      <c r="L432" t="s">
        <v>33</v>
      </c>
      <c r="M432" t="str">
        <f t="shared" si="43"/>
        <v>Private Industry</v>
      </c>
      <c r="N432" t="str">
        <f t="shared" si="44"/>
        <v>Small Order</v>
      </c>
      <c r="O432">
        <f t="shared" si="45"/>
        <v>0</v>
      </c>
      <c r="P432">
        <f t="shared" si="46"/>
        <v>0</v>
      </c>
      <c r="Q432" t="b">
        <f t="shared" si="47"/>
        <v>0</v>
      </c>
      <c r="R432">
        <f t="shared" si="48"/>
        <v>0</v>
      </c>
      <c r="S432" s="14">
        <f>_xlfn.XLOOKUP(B432,Summary!$C$10:$C$15,Summary!$B$10:$B$15)</f>
        <v>0.22</v>
      </c>
      <c r="T432">
        <f>IF(AND(H432="Yes",L432&lt;&gt;"Government"),G432*(_xlfn.XLOOKUP(B432,Summary!$C$10:$C$15,Summary!$B$10:$B$15)),0)</f>
        <v>0</v>
      </c>
    </row>
    <row r="433" spans="1:20" x14ac:dyDescent="0.25">
      <c r="A433">
        <v>45386</v>
      </c>
      <c r="B433" t="s">
        <v>32</v>
      </c>
      <c r="C433" t="s">
        <v>25</v>
      </c>
      <c r="D433" s="11">
        <v>1094</v>
      </c>
      <c r="E433">
        <v>3.43</v>
      </c>
      <c r="F433">
        <v>5</v>
      </c>
      <c r="G433">
        <f t="shared" si="42"/>
        <v>5470</v>
      </c>
      <c r="H433" t="s">
        <v>71</v>
      </c>
      <c r="J433" s="9">
        <v>45344</v>
      </c>
      <c r="K433" t="s">
        <v>40</v>
      </c>
      <c r="L433" t="s">
        <v>34</v>
      </c>
      <c r="M433" t="str">
        <f t="shared" si="43"/>
        <v>Private Industry</v>
      </c>
      <c r="N433" t="str">
        <f t="shared" si="44"/>
        <v>Small Order</v>
      </c>
      <c r="O433">
        <f t="shared" si="45"/>
        <v>1258.1000000000001</v>
      </c>
      <c r="P433">
        <f t="shared" si="46"/>
        <v>1258.1000000000001</v>
      </c>
      <c r="Q433" t="b">
        <f t="shared" si="47"/>
        <v>1</v>
      </c>
      <c r="R433">
        <f t="shared" si="48"/>
        <v>1258.1000000000001</v>
      </c>
      <c r="S433" s="14">
        <f>_xlfn.XLOOKUP(B433,Summary!$C$10:$C$15,Summary!$B$10:$B$15)</f>
        <v>0.23</v>
      </c>
      <c r="T433">
        <f>IF(AND(H433="Yes",L433&lt;&gt;"Government"),G433*(_xlfn.XLOOKUP(B433,Summary!$C$10:$C$15,Summary!$B$10:$B$15)),0)</f>
        <v>1258.1000000000001</v>
      </c>
    </row>
    <row r="434" spans="1:20" x14ac:dyDescent="0.25">
      <c r="A434">
        <v>89782</v>
      </c>
      <c r="B434" t="s">
        <v>27</v>
      </c>
      <c r="C434" t="s">
        <v>25</v>
      </c>
      <c r="D434" s="11">
        <v>663</v>
      </c>
      <c r="E434">
        <v>3.87</v>
      </c>
      <c r="F434">
        <v>5</v>
      </c>
      <c r="G434">
        <f t="shared" si="42"/>
        <v>3315</v>
      </c>
      <c r="H434" t="s">
        <v>71</v>
      </c>
      <c r="J434" s="9">
        <v>45289</v>
      </c>
      <c r="K434" t="s">
        <v>40</v>
      </c>
      <c r="L434" t="s">
        <v>24</v>
      </c>
      <c r="M434" t="str">
        <f t="shared" si="43"/>
        <v>Public Sector</v>
      </c>
      <c r="N434" t="str">
        <f t="shared" si="44"/>
        <v>Small Order</v>
      </c>
      <c r="O434">
        <f t="shared" si="45"/>
        <v>762.45</v>
      </c>
      <c r="P434">
        <f t="shared" si="46"/>
        <v>0</v>
      </c>
      <c r="Q434" t="b">
        <f t="shared" si="47"/>
        <v>0</v>
      </c>
      <c r="R434">
        <f t="shared" si="48"/>
        <v>0</v>
      </c>
      <c r="S434" s="14">
        <f>_xlfn.XLOOKUP(B434,Summary!$C$10:$C$15,Summary!$B$10:$B$15)</f>
        <v>0.19</v>
      </c>
      <c r="T434">
        <f>IF(AND(H434="Yes",L434&lt;&gt;"Government"),G434*(_xlfn.XLOOKUP(B434,Summary!$C$10:$C$15,Summary!$B$10:$B$15)),0)</f>
        <v>0</v>
      </c>
    </row>
    <row r="435" spans="1:20" x14ac:dyDescent="0.25">
      <c r="A435">
        <v>68886</v>
      </c>
      <c r="B435" t="s">
        <v>44</v>
      </c>
      <c r="C435" t="s">
        <v>30</v>
      </c>
      <c r="D435" s="11">
        <v>1283</v>
      </c>
      <c r="E435">
        <v>5.18</v>
      </c>
      <c r="F435">
        <v>6</v>
      </c>
      <c r="G435">
        <f t="shared" si="42"/>
        <v>7698</v>
      </c>
      <c r="H435" t="s">
        <v>72</v>
      </c>
      <c r="J435" s="9">
        <v>45489</v>
      </c>
      <c r="K435" t="s">
        <v>40</v>
      </c>
      <c r="L435" t="s">
        <v>34</v>
      </c>
      <c r="M435" t="str">
        <f t="shared" si="43"/>
        <v>Private Industry</v>
      </c>
      <c r="N435" t="str">
        <f t="shared" si="44"/>
        <v>Small Order</v>
      </c>
      <c r="O435">
        <f t="shared" si="45"/>
        <v>0</v>
      </c>
      <c r="P435">
        <f t="shared" si="46"/>
        <v>0</v>
      </c>
      <c r="Q435" t="b">
        <f t="shared" si="47"/>
        <v>0</v>
      </c>
      <c r="R435">
        <f t="shared" si="48"/>
        <v>0</v>
      </c>
      <c r="S435" s="14">
        <f>_xlfn.XLOOKUP(B435,Summary!$C$10:$C$15,Summary!$B$10:$B$15)</f>
        <v>0.2</v>
      </c>
      <c r="T435">
        <f>IF(AND(H435="Yes",L435&lt;&gt;"Government"),G435*(_xlfn.XLOOKUP(B435,Summary!$C$10:$C$15,Summary!$B$10:$B$15)),0)</f>
        <v>0</v>
      </c>
    </row>
    <row r="436" spans="1:20" x14ac:dyDescent="0.25">
      <c r="A436">
        <v>46626</v>
      </c>
      <c r="B436" t="s">
        <v>42</v>
      </c>
      <c r="C436" t="s">
        <v>36</v>
      </c>
      <c r="D436" s="11">
        <v>362</v>
      </c>
      <c r="E436">
        <v>120.18</v>
      </c>
      <c r="F436">
        <v>142</v>
      </c>
      <c r="G436">
        <f t="shared" si="42"/>
        <v>51404</v>
      </c>
      <c r="H436" t="s">
        <v>71</v>
      </c>
      <c r="J436" s="9">
        <v>45529</v>
      </c>
      <c r="K436" t="s">
        <v>39</v>
      </c>
      <c r="L436" t="s">
        <v>24</v>
      </c>
      <c r="M436" t="str">
        <f t="shared" si="43"/>
        <v>Public Sector</v>
      </c>
      <c r="N436" t="str">
        <f t="shared" si="44"/>
        <v>Small Order</v>
      </c>
      <c r="O436">
        <f t="shared" si="45"/>
        <v>11822.92</v>
      </c>
      <c r="P436">
        <f t="shared" si="46"/>
        <v>0</v>
      </c>
      <c r="Q436" t="b">
        <f t="shared" si="47"/>
        <v>0</v>
      </c>
      <c r="R436">
        <f t="shared" si="48"/>
        <v>0</v>
      </c>
      <c r="S436" s="14">
        <f>_xlfn.XLOOKUP(B436,Summary!$C$10:$C$15,Summary!$B$10:$B$15)</f>
        <v>0.24</v>
      </c>
      <c r="T436">
        <f>IF(AND(H436="Yes",L436&lt;&gt;"Government"),G436*(_xlfn.XLOOKUP(B436,Summary!$C$10:$C$15,Summary!$B$10:$B$15)),0)</f>
        <v>0</v>
      </c>
    </row>
    <row r="437" spans="1:20" x14ac:dyDescent="0.25">
      <c r="A437">
        <v>16647</v>
      </c>
      <c r="B437" t="s">
        <v>32</v>
      </c>
      <c r="C437" t="s">
        <v>35</v>
      </c>
      <c r="D437" s="11">
        <v>766</v>
      </c>
      <c r="E437">
        <v>10.51</v>
      </c>
      <c r="F437">
        <v>13</v>
      </c>
      <c r="G437">
        <f t="shared" si="42"/>
        <v>9958</v>
      </c>
      <c r="H437" t="s">
        <v>71</v>
      </c>
      <c r="J437" s="9">
        <v>45266</v>
      </c>
      <c r="K437" t="s">
        <v>39</v>
      </c>
      <c r="L437" t="s">
        <v>31</v>
      </c>
      <c r="M437" t="str">
        <f t="shared" si="43"/>
        <v>Private Industry</v>
      </c>
      <c r="N437" t="str">
        <f t="shared" si="44"/>
        <v>Small Order</v>
      </c>
      <c r="O437">
        <f t="shared" si="45"/>
        <v>2290.34</v>
      </c>
      <c r="P437">
        <f t="shared" si="46"/>
        <v>2290.34</v>
      </c>
      <c r="Q437" t="b">
        <f t="shared" si="47"/>
        <v>1</v>
      </c>
      <c r="R437">
        <f t="shared" si="48"/>
        <v>2290.34</v>
      </c>
      <c r="S437" s="14">
        <f>_xlfn.XLOOKUP(B437,Summary!$C$10:$C$15,Summary!$B$10:$B$15)</f>
        <v>0.23</v>
      </c>
      <c r="T437">
        <f>IF(AND(H437="Yes",L437&lt;&gt;"Government"),G437*(_xlfn.XLOOKUP(B437,Summary!$C$10:$C$15,Summary!$B$10:$B$15)),0)</f>
        <v>2290.34</v>
      </c>
    </row>
    <row r="438" spans="1:20" x14ac:dyDescent="0.25">
      <c r="A438">
        <v>27517</v>
      </c>
      <c r="B438" t="s">
        <v>43</v>
      </c>
      <c r="C438" t="s">
        <v>36</v>
      </c>
      <c r="D438" s="11">
        <v>2438</v>
      </c>
      <c r="E438">
        <v>120.51</v>
      </c>
      <c r="F438">
        <v>155</v>
      </c>
      <c r="G438">
        <f t="shared" si="42"/>
        <v>377890</v>
      </c>
      <c r="H438" t="s">
        <v>72</v>
      </c>
      <c r="J438" s="9">
        <v>45137</v>
      </c>
      <c r="K438" t="s">
        <v>41</v>
      </c>
      <c r="L438" t="s">
        <v>33</v>
      </c>
      <c r="M438" t="str">
        <f t="shared" si="43"/>
        <v>Private Industry</v>
      </c>
      <c r="N438" t="str">
        <f t="shared" si="44"/>
        <v>Large Order</v>
      </c>
      <c r="O438">
        <f t="shared" si="45"/>
        <v>0</v>
      </c>
      <c r="P438">
        <f t="shared" si="46"/>
        <v>0</v>
      </c>
      <c r="Q438" t="b">
        <f t="shared" si="47"/>
        <v>0</v>
      </c>
      <c r="R438">
        <f t="shared" si="48"/>
        <v>0</v>
      </c>
      <c r="S438" s="14">
        <f>_xlfn.XLOOKUP(B438,Summary!$C$10:$C$15,Summary!$B$10:$B$15)</f>
        <v>0.21</v>
      </c>
      <c r="T438">
        <f>IF(AND(H438="Yes",L438&lt;&gt;"Government"),G438*(_xlfn.XLOOKUP(B438,Summary!$C$10:$C$15,Summary!$B$10:$B$15)),0)</f>
        <v>0</v>
      </c>
    </row>
    <row r="439" spans="1:20" x14ac:dyDescent="0.25">
      <c r="A439">
        <v>10128</v>
      </c>
      <c r="B439" t="s">
        <v>44</v>
      </c>
      <c r="C439" t="s">
        <v>25</v>
      </c>
      <c r="D439" s="11">
        <v>831</v>
      </c>
      <c r="E439">
        <v>4</v>
      </c>
      <c r="F439">
        <v>6</v>
      </c>
      <c r="G439">
        <f t="shared" si="42"/>
        <v>4986</v>
      </c>
      <c r="H439" t="s">
        <v>72</v>
      </c>
      <c r="J439" s="9">
        <v>45728</v>
      </c>
      <c r="K439" t="s">
        <v>39</v>
      </c>
      <c r="L439" t="s">
        <v>24</v>
      </c>
      <c r="M439" t="str">
        <f t="shared" si="43"/>
        <v>Public Sector</v>
      </c>
      <c r="N439" t="str">
        <f t="shared" si="44"/>
        <v>Small Order</v>
      </c>
      <c r="O439">
        <f t="shared" si="45"/>
        <v>0</v>
      </c>
      <c r="P439">
        <f t="shared" si="46"/>
        <v>0</v>
      </c>
      <c r="Q439" t="b">
        <f t="shared" si="47"/>
        <v>0</v>
      </c>
      <c r="R439">
        <f t="shared" si="48"/>
        <v>0</v>
      </c>
      <c r="S439" s="14">
        <f>_xlfn.XLOOKUP(B439,Summary!$C$10:$C$15,Summary!$B$10:$B$15)</f>
        <v>0.2</v>
      </c>
      <c r="T439">
        <f>IF(AND(H439="Yes",L439&lt;&gt;"Government"),G439*(_xlfn.XLOOKUP(B439,Summary!$C$10:$C$15,Summary!$B$10:$B$15)),0)</f>
        <v>0</v>
      </c>
    </row>
    <row r="440" spans="1:20" x14ac:dyDescent="0.25">
      <c r="A440">
        <v>88111</v>
      </c>
      <c r="B440" t="s">
        <v>27</v>
      </c>
      <c r="C440" t="s">
        <v>25</v>
      </c>
      <c r="D440" s="11">
        <v>2021</v>
      </c>
      <c r="E440">
        <v>3.16</v>
      </c>
      <c r="F440">
        <v>5</v>
      </c>
      <c r="G440">
        <f t="shared" si="42"/>
        <v>10105</v>
      </c>
      <c r="H440" t="s">
        <v>72</v>
      </c>
      <c r="J440" s="9">
        <v>45139</v>
      </c>
      <c r="K440" t="s">
        <v>39</v>
      </c>
      <c r="L440" t="s">
        <v>34</v>
      </c>
      <c r="M440" t="str">
        <f t="shared" si="43"/>
        <v>Private Industry</v>
      </c>
      <c r="N440" t="str">
        <f t="shared" si="44"/>
        <v>Large Order</v>
      </c>
      <c r="O440">
        <f t="shared" si="45"/>
        <v>0</v>
      </c>
      <c r="P440">
        <f t="shared" si="46"/>
        <v>0</v>
      </c>
      <c r="Q440" t="b">
        <f t="shared" si="47"/>
        <v>0</v>
      </c>
      <c r="R440">
        <f t="shared" si="48"/>
        <v>0</v>
      </c>
      <c r="S440" s="14">
        <f>_xlfn.XLOOKUP(B440,Summary!$C$10:$C$15,Summary!$B$10:$B$15)</f>
        <v>0.19</v>
      </c>
      <c r="T440">
        <f>IF(AND(H440="Yes",L440&lt;&gt;"Government"),G440*(_xlfn.XLOOKUP(B440,Summary!$C$10:$C$15,Summary!$B$10:$B$15)),0)</f>
        <v>0</v>
      </c>
    </row>
    <row r="441" spans="1:20" x14ac:dyDescent="0.25">
      <c r="A441">
        <v>66170</v>
      </c>
      <c r="B441" t="s">
        <v>42</v>
      </c>
      <c r="C441" t="s">
        <v>37</v>
      </c>
      <c r="D441" s="11">
        <v>1123</v>
      </c>
      <c r="E441">
        <v>250.71</v>
      </c>
      <c r="F441">
        <v>279</v>
      </c>
      <c r="G441">
        <f t="shared" si="42"/>
        <v>313317</v>
      </c>
      <c r="H441" t="s">
        <v>72</v>
      </c>
      <c r="J441" s="9">
        <v>45525</v>
      </c>
      <c r="K441" t="s">
        <v>40</v>
      </c>
      <c r="L441" t="s">
        <v>24</v>
      </c>
      <c r="M441" t="str">
        <f t="shared" si="43"/>
        <v>Public Sector</v>
      </c>
      <c r="N441" t="str">
        <f t="shared" si="44"/>
        <v>Small Order</v>
      </c>
      <c r="O441">
        <f t="shared" si="45"/>
        <v>0</v>
      </c>
      <c r="P441">
        <f t="shared" si="46"/>
        <v>0</v>
      </c>
      <c r="Q441" t="b">
        <f t="shared" si="47"/>
        <v>0</v>
      </c>
      <c r="R441">
        <f t="shared" si="48"/>
        <v>0</v>
      </c>
      <c r="S441" s="14">
        <f>_xlfn.XLOOKUP(B441,Summary!$C$10:$C$15,Summary!$B$10:$B$15)</f>
        <v>0.24</v>
      </c>
      <c r="T441">
        <f>IF(AND(H441="Yes",L441&lt;&gt;"Government"),G441*(_xlfn.XLOOKUP(B441,Summary!$C$10:$C$15,Summary!$B$10:$B$15)),0)</f>
        <v>0</v>
      </c>
    </row>
    <row r="442" spans="1:20" x14ac:dyDescent="0.25">
      <c r="A442">
        <v>28680</v>
      </c>
      <c r="B442" t="s">
        <v>44</v>
      </c>
      <c r="C442" t="s">
        <v>35</v>
      </c>
      <c r="D442" s="11">
        <v>2428</v>
      </c>
      <c r="E442">
        <v>10.47</v>
      </c>
      <c r="F442">
        <v>16</v>
      </c>
      <c r="G442">
        <f t="shared" si="42"/>
        <v>38848</v>
      </c>
      <c r="H442" t="s">
        <v>72</v>
      </c>
      <c r="J442" s="9">
        <v>45303</v>
      </c>
      <c r="K442" t="s">
        <v>41</v>
      </c>
      <c r="L442" t="s">
        <v>24</v>
      </c>
      <c r="M442" t="str">
        <f t="shared" si="43"/>
        <v>Public Sector</v>
      </c>
      <c r="N442" t="str">
        <f t="shared" si="44"/>
        <v>Large Order</v>
      </c>
      <c r="O442">
        <f t="shared" si="45"/>
        <v>0</v>
      </c>
      <c r="P442">
        <f t="shared" si="46"/>
        <v>0</v>
      </c>
      <c r="Q442" t="b">
        <f t="shared" si="47"/>
        <v>0</v>
      </c>
      <c r="R442">
        <f t="shared" si="48"/>
        <v>0</v>
      </c>
      <c r="S442" s="14">
        <f>_xlfn.XLOOKUP(B442,Summary!$C$10:$C$15,Summary!$B$10:$B$15)</f>
        <v>0.2</v>
      </c>
      <c r="T442">
        <f>IF(AND(H442="Yes",L442&lt;&gt;"Government"),G442*(_xlfn.XLOOKUP(B442,Summary!$C$10:$C$15,Summary!$B$10:$B$15)),0)</f>
        <v>0</v>
      </c>
    </row>
    <row r="443" spans="1:20" x14ac:dyDescent="0.25">
      <c r="A443">
        <v>15265</v>
      </c>
      <c r="B443" t="s">
        <v>27</v>
      </c>
      <c r="C443" t="s">
        <v>30</v>
      </c>
      <c r="D443" s="11">
        <v>1545</v>
      </c>
      <c r="E443">
        <v>5.5</v>
      </c>
      <c r="F443">
        <v>7</v>
      </c>
      <c r="G443">
        <f t="shared" si="42"/>
        <v>10815</v>
      </c>
      <c r="H443" t="s">
        <v>71</v>
      </c>
      <c r="J443" s="9">
        <v>45719</v>
      </c>
      <c r="K443" t="s">
        <v>26</v>
      </c>
      <c r="L443" t="s">
        <v>31</v>
      </c>
      <c r="M443" t="str">
        <f t="shared" si="43"/>
        <v>Private Industry</v>
      </c>
      <c r="N443" t="str">
        <f t="shared" si="44"/>
        <v>Large Order</v>
      </c>
      <c r="O443">
        <f t="shared" si="45"/>
        <v>2487.4500000000003</v>
      </c>
      <c r="P443">
        <f t="shared" si="46"/>
        <v>2487.4500000000003</v>
      </c>
      <c r="Q443" t="b">
        <f t="shared" si="47"/>
        <v>1</v>
      </c>
      <c r="R443">
        <f t="shared" si="48"/>
        <v>2487.4500000000003</v>
      </c>
      <c r="S443" s="14">
        <f>_xlfn.XLOOKUP(B443,Summary!$C$10:$C$15,Summary!$B$10:$B$15)</f>
        <v>0.19</v>
      </c>
      <c r="T443">
        <f>IF(AND(H443="Yes",L443&lt;&gt;"Government"),G443*(_xlfn.XLOOKUP(B443,Summary!$C$10:$C$15,Summary!$B$10:$B$15)),0)</f>
        <v>2054.85</v>
      </c>
    </row>
    <row r="444" spans="1:20" x14ac:dyDescent="0.25">
      <c r="A444">
        <v>93104</v>
      </c>
      <c r="B444" t="s">
        <v>29</v>
      </c>
      <c r="C444" t="s">
        <v>30</v>
      </c>
      <c r="D444" s="11">
        <v>1773</v>
      </c>
      <c r="E444">
        <v>5.41</v>
      </c>
      <c r="F444">
        <v>6</v>
      </c>
      <c r="G444">
        <f t="shared" si="42"/>
        <v>10638</v>
      </c>
      <c r="H444" t="s">
        <v>71</v>
      </c>
      <c r="J444" s="9">
        <v>45285</v>
      </c>
      <c r="K444" t="s">
        <v>41</v>
      </c>
      <c r="L444" t="s">
        <v>34</v>
      </c>
      <c r="M444" t="str">
        <f t="shared" si="43"/>
        <v>Private Industry</v>
      </c>
      <c r="N444" t="str">
        <f t="shared" si="44"/>
        <v>Large Order</v>
      </c>
      <c r="O444">
        <f t="shared" si="45"/>
        <v>2446.7400000000002</v>
      </c>
      <c r="P444">
        <f t="shared" si="46"/>
        <v>2446.7400000000002</v>
      </c>
      <c r="Q444" t="b">
        <f t="shared" si="47"/>
        <v>1</v>
      </c>
      <c r="R444">
        <f t="shared" si="48"/>
        <v>2446.7400000000002</v>
      </c>
      <c r="S444" s="14">
        <f>_xlfn.XLOOKUP(B444,Summary!$C$10:$C$15,Summary!$B$10:$B$15)</f>
        <v>0.22</v>
      </c>
      <c r="T444">
        <f>IF(AND(H444="Yes",L444&lt;&gt;"Government"),G444*(_xlfn.XLOOKUP(B444,Summary!$C$10:$C$15,Summary!$B$10:$B$15)),0)</f>
        <v>2340.36</v>
      </c>
    </row>
    <row r="445" spans="1:20" x14ac:dyDescent="0.25">
      <c r="A445">
        <v>79740</v>
      </c>
      <c r="B445" t="s">
        <v>42</v>
      </c>
      <c r="C445" t="s">
        <v>38</v>
      </c>
      <c r="D445" s="11">
        <v>2039</v>
      </c>
      <c r="E445">
        <v>260.29000000000002</v>
      </c>
      <c r="F445">
        <v>295</v>
      </c>
      <c r="G445">
        <f t="shared" si="42"/>
        <v>601505</v>
      </c>
      <c r="H445" t="s">
        <v>72</v>
      </c>
      <c r="J445" s="9">
        <v>45216</v>
      </c>
      <c r="K445" t="s">
        <v>41</v>
      </c>
      <c r="L445" t="s">
        <v>24</v>
      </c>
      <c r="M445" t="str">
        <f t="shared" si="43"/>
        <v>Public Sector</v>
      </c>
      <c r="N445" t="str">
        <f t="shared" si="44"/>
        <v>Large Order</v>
      </c>
      <c r="O445">
        <f t="shared" si="45"/>
        <v>0</v>
      </c>
      <c r="P445">
        <f t="shared" si="46"/>
        <v>0</v>
      </c>
      <c r="Q445" t="b">
        <f t="shared" si="47"/>
        <v>0</v>
      </c>
      <c r="R445">
        <f t="shared" si="48"/>
        <v>0</v>
      </c>
      <c r="S445" s="14">
        <f>_xlfn.XLOOKUP(B445,Summary!$C$10:$C$15,Summary!$B$10:$B$15)</f>
        <v>0.24</v>
      </c>
      <c r="T445">
        <f>IF(AND(H445="Yes",L445&lt;&gt;"Government"),G445*(_xlfn.XLOOKUP(B445,Summary!$C$10:$C$15,Summary!$B$10:$B$15)),0)</f>
        <v>0</v>
      </c>
    </row>
    <row r="446" spans="1:20" x14ac:dyDescent="0.25">
      <c r="A446">
        <v>41947</v>
      </c>
      <c r="B446" t="s">
        <v>42</v>
      </c>
      <c r="C446" t="s">
        <v>25</v>
      </c>
      <c r="D446" s="11">
        <v>2470</v>
      </c>
      <c r="E446">
        <v>3.38</v>
      </c>
      <c r="F446">
        <v>5</v>
      </c>
      <c r="G446">
        <f t="shared" si="42"/>
        <v>12350</v>
      </c>
      <c r="H446" t="s">
        <v>71</v>
      </c>
      <c r="J446" s="9">
        <v>45282</v>
      </c>
      <c r="K446" t="s">
        <v>26</v>
      </c>
      <c r="L446" t="s">
        <v>28</v>
      </c>
      <c r="M446" t="str">
        <f t="shared" si="43"/>
        <v>Private Industry</v>
      </c>
      <c r="N446" t="str">
        <f t="shared" si="44"/>
        <v>Large Order</v>
      </c>
      <c r="O446">
        <f t="shared" si="45"/>
        <v>2840.5</v>
      </c>
      <c r="P446">
        <f t="shared" si="46"/>
        <v>2840.5</v>
      </c>
      <c r="Q446" t="b">
        <f t="shared" si="47"/>
        <v>1</v>
      </c>
      <c r="R446">
        <f t="shared" si="48"/>
        <v>2840.5</v>
      </c>
      <c r="S446" s="14">
        <f>_xlfn.XLOOKUP(B446,Summary!$C$10:$C$15,Summary!$B$10:$B$15)</f>
        <v>0.24</v>
      </c>
      <c r="T446">
        <f>IF(AND(H446="Yes",L446&lt;&gt;"Government"),G446*(_xlfn.XLOOKUP(B446,Summary!$C$10:$C$15,Summary!$B$10:$B$15)),0)</f>
        <v>2964</v>
      </c>
    </row>
    <row r="447" spans="1:20" x14ac:dyDescent="0.25">
      <c r="A447">
        <v>55250</v>
      </c>
      <c r="B447" t="s">
        <v>44</v>
      </c>
      <c r="C447" t="s">
        <v>37</v>
      </c>
      <c r="D447" s="11">
        <v>1389</v>
      </c>
      <c r="E447">
        <v>250.86</v>
      </c>
      <c r="F447">
        <v>362</v>
      </c>
      <c r="G447">
        <f t="shared" si="42"/>
        <v>502818</v>
      </c>
      <c r="H447" t="s">
        <v>71</v>
      </c>
      <c r="J447" s="9">
        <v>45269</v>
      </c>
      <c r="K447" t="s">
        <v>40</v>
      </c>
      <c r="L447" t="s">
        <v>24</v>
      </c>
      <c r="M447" t="str">
        <f t="shared" si="43"/>
        <v>Public Sector</v>
      </c>
      <c r="N447" t="str">
        <f t="shared" si="44"/>
        <v>Small Order</v>
      </c>
      <c r="O447">
        <f t="shared" si="45"/>
        <v>115648.14</v>
      </c>
      <c r="P447">
        <f t="shared" si="46"/>
        <v>0</v>
      </c>
      <c r="Q447" t="b">
        <f t="shared" si="47"/>
        <v>0</v>
      </c>
      <c r="R447">
        <f t="shared" si="48"/>
        <v>0</v>
      </c>
      <c r="S447" s="14">
        <f>_xlfn.XLOOKUP(B447,Summary!$C$10:$C$15,Summary!$B$10:$B$15)</f>
        <v>0.2</v>
      </c>
      <c r="T447">
        <f>IF(AND(H447="Yes",L447&lt;&gt;"Government"),G447*(_xlfn.XLOOKUP(B447,Summary!$C$10:$C$15,Summary!$B$10:$B$15)),0)</f>
        <v>0</v>
      </c>
    </row>
    <row r="448" spans="1:20" x14ac:dyDescent="0.25">
      <c r="A448">
        <v>29185</v>
      </c>
      <c r="B448" t="s">
        <v>43</v>
      </c>
      <c r="C448" t="s">
        <v>37</v>
      </c>
      <c r="D448" s="11">
        <v>1956</v>
      </c>
      <c r="E448">
        <v>250.72</v>
      </c>
      <c r="F448">
        <v>281</v>
      </c>
      <c r="G448">
        <f t="shared" si="42"/>
        <v>549636</v>
      </c>
      <c r="H448" t="s">
        <v>71</v>
      </c>
      <c r="J448" s="9">
        <v>45554</v>
      </c>
      <c r="K448" t="s">
        <v>40</v>
      </c>
      <c r="L448" t="s">
        <v>31</v>
      </c>
      <c r="M448" t="str">
        <f t="shared" si="43"/>
        <v>Private Industry</v>
      </c>
      <c r="N448" t="str">
        <f t="shared" si="44"/>
        <v>Large Order</v>
      </c>
      <c r="O448">
        <f t="shared" si="45"/>
        <v>126416.28</v>
      </c>
      <c r="P448">
        <f t="shared" si="46"/>
        <v>126416.28</v>
      </c>
      <c r="Q448" t="b">
        <f t="shared" si="47"/>
        <v>1</v>
      </c>
      <c r="R448">
        <f t="shared" si="48"/>
        <v>126416.28</v>
      </c>
      <c r="S448" s="14">
        <f>_xlfn.XLOOKUP(B448,Summary!$C$10:$C$15,Summary!$B$10:$B$15)</f>
        <v>0.21</v>
      </c>
      <c r="T448">
        <f>IF(AND(H448="Yes",L448&lt;&gt;"Government"),G448*(_xlfn.XLOOKUP(B448,Summary!$C$10:$C$15,Summary!$B$10:$B$15)),0)</f>
        <v>115423.56</v>
      </c>
    </row>
    <row r="449" spans="1:20" x14ac:dyDescent="0.25">
      <c r="A449">
        <v>52336</v>
      </c>
      <c r="B449" t="s">
        <v>44</v>
      </c>
      <c r="C449" t="s">
        <v>25</v>
      </c>
      <c r="D449" s="11">
        <v>1295</v>
      </c>
      <c r="E449">
        <v>3.89</v>
      </c>
      <c r="F449">
        <v>5</v>
      </c>
      <c r="G449">
        <f t="shared" si="42"/>
        <v>6475</v>
      </c>
      <c r="H449" t="s">
        <v>71</v>
      </c>
      <c r="J449" s="9">
        <v>45334</v>
      </c>
      <c r="K449" t="s">
        <v>39</v>
      </c>
      <c r="L449" t="s">
        <v>31</v>
      </c>
      <c r="M449" t="str">
        <f t="shared" si="43"/>
        <v>Private Industry</v>
      </c>
      <c r="N449" t="str">
        <f t="shared" si="44"/>
        <v>Small Order</v>
      </c>
      <c r="O449">
        <f t="shared" si="45"/>
        <v>1489.25</v>
      </c>
      <c r="P449">
        <f t="shared" si="46"/>
        <v>1489.25</v>
      </c>
      <c r="Q449" t="b">
        <f t="shared" si="47"/>
        <v>1</v>
      </c>
      <c r="R449">
        <f t="shared" si="48"/>
        <v>1489.25</v>
      </c>
      <c r="S449" s="14">
        <f>_xlfn.XLOOKUP(B449,Summary!$C$10:$C$15,Summary!$B$10:$B$15)</f>
        <v>0.2</v>
      </c>
      <c r="T449">
        <f>IF(AND(H449="Yes",L449&lt;&gt;"Government"),G449*(_xlfn.XLOOKUP(B449,Summary!$C$10:$C$15,Summary!$B$10:$B$15)),0)</f>
        <v>1295</v>
      </c>
    </row>
    <row r="450" spans="1:20" x14ac:dyDescent="0.25">
      <c r="A450">
        <v>77580</v>
      </c>
      <c r="B450" t="s">
        <v>43</v>
      </c>
      <c r="C450" t="s">
        <v>25</v>
      </c>
      <c r="D450" s="11">
        <v>1761</v>
      </c>
      <c r="E450">
        <v>3.55</v>
      </c>
      <c r="F450">
        <v>6</v>
      </c>
      <c r="G450">
        <f t="shared" si="42"/>
        <v>10566</v>
      </c>
      <c r="H450" t="s">
        <v>71</v>
      </c>
      <c r="J450" s="9">
        <v>45380</v>
      </c>
      <c r="K450" t="s">
        <v>40</v>
      </c>
      <c r="L450" t="s">
        <v>24</v>
      </c>
      <c r="M450" t="str">
        <f t="shared" si="43"/>
        <v>Public Sector</v>
      </c>
      <c r="N450" t="str">
        <f t="shared" si="44"/>
        <v>Large Order</v>
      </c>
      <c r="O450">
        <f t="shared" si="45"/>
        <v>2430.1800000000003</v>
      </c>
      <c r="P450">
        <f t="shared" si="46"/>
        <v>0</v>
      </c>
      <c r="Q450" t="b">
        <f t="shared" si="47"/>
        <v>0</v>
      </c>
      <c r="R450">
        <f t="shared" si="48"/>
        <v>0</v>
      </c>
      <c r="S450" s="14">
        <f>_xlfn.XLOOKUP(B450,Summary!$C$10:$C$15,Summary!$B$10:$B$15)</f>
        <v>0.21</v>
      </c>
      <c r="T450">
        <f>IF(AND(H450="Yes",L450&lt;&gt;"Government"),G450*(_xlfn.XLOOKUP(B450,Summary!$C$10:$C$15,Summary!$B$10:$B$15)),0)</f>
        <v>0</v>
      </c>
    </row>
    <row r="451" spans="1:20" x14ac:dyDescent="0.25">
      <c r="A451">
        <v>34298</v>
      </c>
      <c r="B451" t="s">
        <v>29</v>
      </c>
      <c r="C451" t="s">
        <v>35</v>
      </c>
      <c r="D451" s="11">
        <v>2136</v>
      </c>
      <c r="E451">
        <v>10.15</v>
      </c>
      <c r="F451">
        <v>11</v>
      </c>
      <c r="G451">
        <f t="shared" ref="G451:G514" si="49">D451*F451</f>
        <v>23496</v>
      </c>
      <c r="H451" t="s">
        <v>72</v>
      </c>
      <c r="J451" s="9">
        <v>45376</v>
      </c>
      <c r="K451" t="s">
        <v>40</v>
      </c>
      <c r="L451" t="s">
        <v>24</v>
      </c>
      <c r="M451" t="str">
        <f t="shared" ref="M451:M514" si="50">IF(L451="Government","Public Sector","Private Industry")</f>
        <v>Public Sector</v>
      </c>
      <c r="N451" t="str">
        <f t="shared" ref="N451:N514" si="51">IF(D451&gt;1500,"Large Order","Small Order")</f>
        <v>Large Order</v>
      </c>
      <c r="O451">
        <f t="shared" ref="O451:O514" si="52">IF(H451="Yes",G451*0.23,0)</f>
        <v>0</v>
      </c>
      <c r="P451">
        <f t="shared" ref="P451:P514" si="53">IF(Q451,G451*0.23,0)</f>
        <v>0</v>
      </c>
      <c r="Q451" t="b">
        <f t="shared" ref="Q451:Q514" si="54">AND(H451="Yes",L451&lt;&gt;"Government")</f>
        <v>0</v>
      </c>
      <c r="R451">
        <f t="shared" ref="R451:R514" si="55">IF(AND(H451="Yes",L451&lt;&gt;"Government"),G451*0.23,0)</f>
        <v>0</v>
      </c>
      <c r="S451" s="14">
        <f>_xlfn.XLOOKUP(B451,Summary!$C$10:$C$15,Summary!$B$10:$B$15)</f>
        <v>0.22</v>
      </c>
      <c r="T451">
        <f>IF(AND(H451="Yes",L451&lt;&gt;"Government"),G451*(_xlfn.XLOOKUP(B451,Summary!$C$10:$C$15,Summary!$B$10:$B$15)),0)</f>
        <v>0</v>
      </c>
    </row>
    <row r="452" spans="1:20" x14ac:dyDescent="0.25">
      <c r="A452">
        <v>90957</v>
      </c>
      <c r="B452" t="s">
        <v>43</v>
      </c>
      <c r="C452" t="s">
        <v>37</v>
      </c>
      <c r="D452" s="11">
        <v>1010</v>
      </c>
      <c r="E452">
        <v>250.15</v>
      </c>
      <c r="F452">
        <v>336</v>
      </c>
      <c r="G452">
        <f t="shared" si="49"/>
        <v>339360</v>
      </c>
      <c r="H452" t="s">
        <v>71</v>
      </c>
      <c r="J452" s="9">
        <v>45781</v>
      </c>
      <c r="K452" t="s">
        <v>41</v>
      </c>
      <c r="L452" t="s">
        <v>34</v>
      </c>
      <c r="M452" t="str">
        <f t="shared" si="50"/>
        <v>Private Industry</v>
      </c>
      <c r="N452" t="str">
        <f t="shared" si="51"/>
        <v>Small Order</v>
      </c>
      <c r="O452">
        <f t="shared" si="52"/>
        <v>78052.800000000003</v>
      </c>
      <c r="P452">
        <f t="shared" si="53"/>
        <v>78052.800000000003</v>
      </c>
      <c r="Q452" t="b">
        <f t="shared" si="54"/>
        <v>1</v>
      </c>
      <c r="R452">
        <f t="shared" si="55"/>
        <v>78052.800000000003</v>
      </c>
      <c r="S452" s="14">
        <f>_xlfn.XLOOKUP(B452,Summary!$C$10:$C$15,Summary!$B$10:$B$15)</f>
        <v>0.21</v>
      </c>
      <c r="T452">
        <f>IF(AND(H452="Yes",L452&lt;&gt;"Government"),G452*(_xlfn.XLOOKUP(B452,Summary!$C$10:$C$15,Summary!$B$10:$B$15)),0)</f>
        <v>71265.599999999991</v>
      </c>
    </row>
    <row r="453" spans="1:20" x14ac:dyDescent="0.25">
      <c r="A453">
        <v>57507</v>
      </c>
      <c r="B453" t="s">
        <v>44</v>
      </c>
      <c r="C453" t="s">
        <v>36</v>
      </c>
      <c r="D453" s="11">
        <v>1269</v>
      </c>
      <c r="E453">
        <v>121</v>
      </c>
      <c r="F453">
        <v>166</v>
      </c>
      <c r="G453">
        <f t="shared" si="49"/>
        <v>210654</v>
      </c>
      <c r="H453" t="s">
        <v>72</v>
      </c>
      <c r="J453" s="9">
        <v>45545</v>
      </c>
      <c r="K453" t="s">
        <v>40</v>
      </c>
      <c r="L453" t="s">
        <v>24</v>
      </c>
      <c r="M453" t="str">
        <f t="shared" si="50"/>
        <v>Public Sector</v>
      </c>
      <c r="N453" t="str">
        <f t="shared" si="51"/>
        <v>Small Order</v>
      </c>
      <c r="O453">
        <f t="shared" si="52"/>
        <v>0</v>
      </c>
      <c r="P453">
        <f t="shared" si="53"/>
        <v>0</v>
      </c>
      <c r="Q453" t="b">
        <f t="shared" si="54"/>
        <v>0</v>
      </c>
      <c r="R453">
        <f t="shared" si="55"/>
        <v>0</v>
      </c>
      <c r="S453" s="14">
        <f>_xlfn.XLOOKUP(B453,Summary!$C$10:$C$15,Summary!$B$10:$B$15)</f>
        <v>0.2</v>
      </c>
      <c r="T453">
        <f>IF(AND(H453="Yes",L453&lt;&gt;"Government"),G453*(_xlfn.XLOOKUP(B453,Summary!$C$10:$C$15,Summary!$B$10:$B$15)),0)</f>
        <v>0</v>
      </c>
    </row>
    <row r="454" spans="1:20" x14ac:dyDescent="0.25">
      <c r="A454">
        <v>35175</v>
      </c>
      <c r="B454" t="s">
        <v>43</v>
      </c>
      <c r="C454" t="s">
        <v>25</v>
      </c>
      <c r="D454" s="11">
        <v>570</v>
      </c>
      <c r="E454">
        <v>3.43</v>
      </c>
      <c r="F454">
        <v>4</v>
      </c>
      <c r="G454">
        <f t="shared" si="49"/>
        <v>2280</v>
      </c>
      <c r="H454" t="s">
        <v>72</v>
      </c>
      <c r="J454" s="9">
        <v>45597</v>
      </c>
      <c r="K454" t="s">
        <v>40</v>
      </c>
      <c r="L454" t="s">
        <v>24</v>
      </c>
      <c r="M454" t="str">
        <f t="shared" si="50"/>
        <v>Public Sector</v>
      </c>
      <c r="N454" t="str">
        <f t="shared" si="51"/>
        <v>Small Order</v>
      </c>
      <c r="O454">
        <f t="shared" si="52"/>
        <v>0</v>
      </c>
      <c r="P454">
        <f t="shared" si="53"/>
        <v>0</v>
      </c>
      <c r="Q454" t="b">
        <f t="shared" si="54"/>
        <v>0</v>
      </c>
      <c r="R454">
        <f t="shared" si="55"/>
        <v>0</v>
      </c>
      <c r="S454" s="14">
        <f>_xlfn.XLOOKUP(B454,Summary!$C$10:$C$15,Summary!$B$10:$B$15)</f>
        <v>0.21</v>
      </c>
      <c r="T454">
        <f>IF(AND(H454="Yes",L454&lt;&gt;"Government"),G454*(_xlfn.XLOOKUP(B454,Summary!$C$10:$C$15,Summary!$B$10:$B$15)),0)</f>
        <v>0</v>
      </c>
    </row>
    <row r="455" spans="1:20" x14ac:dyDescent="0.25">
      <c r="A455">
        <v>17414</v>
      </c>
      <c r="B455" t="s">
        <v>32</v>
      </c>
      <c r="C455" t="s">
        <v>25</v>
      </c>
      <c r="D455" s="11">
        <v>689</v>
      </c>
      <c r="E455">
        <v>3.38</v>
      </c>
      <c r="F455">
        <v>4</v>
      </c>
      <c r="G455">
        <f t="shared" si="49"/>
        <v>2756</v>
      </c>
      <c r="H455" t="s">
        <v>71</v>
      </c>
      <c r="J455" s="9">
        <v>45747</v>
      </c>
      <c r="K455" t="s">
        <v>39</v>
      </c>
      <c r="L455" t="s">
        <v>34</v>
      </c>
      <c r="M455" t="str">
        <f t="shared" si="50"/>
        <v>Private Industry</v>
      </c>
      <c r="N455" t="str">
        <f t="shared" si="51"/>
        <v>Small Order</v>
      </c>
      <c r="O455">
        <f t="shared" si="52"/>
        <v>633.88</v>
      </c>
      <c r="P455">
        <f t="shared" si="53"/>
        <v>633.88</v>
      </c>
      <c r="Q455" t="b">
        <f t="shared" si="54"/>
        <v>1</v>
      </c>
      <c r="R455">
        <f t="shared" si="55"/>
        <v>633.88</v>
      </c>
      <c r="S455" s="14">
        <f>_xlfn.XLOOKUP(B455,Summary!$C$10:$C$15,Summary!$B$10:$B$15)</f>
        <v>0.23</v>
      </c>
      <c r="T455">
        <f>IF(AND(H455="Yes",L455&lt;&gt;"Government"),G455*(_xlfn.XLOOKUP(B455,Summary!$C$10:$C$15,Summary!$B$10:$B$15)),0)</f>
        <v>633.88</v>
      </c>
    </row>
    <row r="456" spans="1:20" x14ac:dyDescent="0.25">
      <c r="A456">
        <v>28893</v>
      </c>
      <c r="B456" t="s">
        <v>29</v>
      </c>
      <c r="C456" t="s">
        <v>36</v>
      </c>
      <c r="D456" s="11">
        <v>3864</v>
      </c>
      <c r="E456">
        <v>120.29</v>
      </c>
      <c r="F456">
        <v>153</v>
      </c>
      <c r="G456">
        <f t="shared" si="49"/>
        <v>591192</v>
      </c>
      <c r="H456" t="s">
        <v>71</v>
      </c>
      <c r="J456" s="9">
        <v>45259</v>
      </c>
      <c r="K456" t="s">
        <v>39</v>
      </c>
      <c r="L456" t="s">
        <v>24</v>
      </c>
      <c r="M456" t="str">
        <f t="shared" si="50"/>
        <v>Public Sector</v>
      </c>
      <c r="N456" t="str">
        <f t="shared" si="51"/>
        <v>Large Order</v>
      </c>
      <c r="O456">
        <f t="shared" si="52"/>
        <v>135974.16</v>
      </c>
      <c r="P456">
        <f t="shared" si="53"/>
        <v>0</v>
      </c>
      <c r="Q456" t="b">
        <f t="shared" si="54"/>
        <v>0</v>
      </c>
      <c r="R456">
        <f t="shared" si="55"/>
        <v>0</v>
      </c>
      <c r="S456" s="14">
        <f>_xlfn.XLOOKUP(B456,Summary!$C$10:$C$15,Summary!$B$10:$B$15)</f>
        <v>0.22</v>
      </c>
      <c r="T456">
        <f>IF(AND(H456="Yes",L456&lt;&gt;"Government"),G456*(_xlfn.XLOOKUP(B456,Summary!$C$10:$C$15,Summary!$B$10:$B$15)),0)</f>
        <v>0</v>
      </c>
    </row>
    <row r="457" spans="1:20" x14ac:dyDescent="0.25">
      <c r="A457">
        <v>19084</v>
      </c>
      <c r="B457" t="s">
        <v>29</v>
      </c>
      <c r="C457" t="s">
        <v>37</v>
      </c>
      <c r="D457" s="11">
        <v>2487</v>
      </c>
      <c r="E457">
        <v>250.37</v>
      </c>
      <c r="F457">
        <v>263</v>
      </c>
      <c r="G457">
        <f t="shared" si="49"/>
        <v>654081</v>
      </c>
      <c r="H457" t="s">
        <v>72</v>
      </c>
      <c r="J457" s="9">
        <v>45197</v>
      </c>
      <c r="K457" t="s">
        <v>40</v>
      </c>
      <c r="L457" t="s">
        <v>24</v>
      </c>
      <c r="M457" t="str">
        <f t="shared" si="50"/>
        <v>Public Sector</v>
      </c>
      <c r="N457" t="str">
        <f t="shared" si="51"/>
        <v>Large Order</v>
      </c>
      <c r="O457">
        <f t="shared" si="52"/>
        <v>0</v>
      </c>
      <c r="P457">
        <f t="shared" si="53"/>
        <v>0</v>
      </c>
      <c r="Q457" t="b">
        <f t="shared" si="54"/>
        <v>0</v>
      </c>
      <c r="R457">
        <f t="shared" si="55"/>
        <v>0</v>
      </c>
      <c r="S457" s="14">
        <f>_xlfn.XLOOKUP(B457,Summary!$C$10:$C$15,Summary!$B$10:$B$15)</f>
        <v>0.22</v>
      </c>
      <c r="T457">
        <f>IF(AND(H457="Yes",L457&lt;&gt;"Government"),G457*(_xlfn.XLOOKUP(B457,Summary!$C$10:$C$15,Summary!$B$10:$B$15)),0)</f>
        <v>0</v>
      </c>
    </row>
    <row r="458" spans="1:20" x14ac:dyDescent="0.25">
      <c r="A458">
        <v>71398</v>
      </c>
      <c r="B458" t="s">
        <v>43</v>
      </c>
      <c r="C458" t="s">
        <v>30</v>
      </c>
      <c r="D458" s="11">
        <v>1804</v>
      </c>
      <c r="E458">
        <v>5.35</v>
      </c>
      <c r="F458">
        <v>9</v>
      </c>
      <c r="G458">
        <f t="shared" si="49"/>
        <v>16236</v>
      </c>
      <c r="H458" t="s">
        <v>72</v>
      </c>
      <c r="J458" s="9">
        <v>45438</v>
      </c>
      <c r="K458" t="s">
        <v>41</v>
      </c>
      <c r="L458" t="s">
        <v>33</v>
      </c>
      <c r="M458" t="str">
        <f t="shared" si="50"/>
        <v>Private Industry</v>
      </c>
      <c r="N458" t="str">
        <f t="shared" si="51"/>
        <v>Large Order</v>
      </c>
      <c r="O458">
        <f t="shared" si="52"/>
        <v>0</v>
      </c>
      <c r="P458">
        <f t="shared" si="53"/>
        <v>0</v>
      </c>
      <c r="Q458" t="b">
        <f t="shared" si="54"/>
        <v>0</v>
      </c>
      <c r="R458">
        <f t="shared" si="55"/>
        <v>0</v>
      </c>
      <c r="S458" s="14">
        <f>_xlfn.XLOOKUP(B458,Summary!$C$10:$C$15,Summary!$B$10:$B$15)</f>
        <v>0.21</v>
      </c>
      <c r="T458">
        <f>IF(AND(H458="Yes",L458&lt;&gt;"Government"),G458*(_xlfn.XLOOKUP(B458,Summary!$C$10:$C$15,Summary!$B$10:$B$15)),0)</f>
        <v>0</v>
      </c>
    </row>
    <row r="459" spans="1:20" x14ac:dyDescent="0.25">
      <c r="A459">
        <v>80682</v>
      </c>
      <c r="B459" t="s">
        <v>43</v>
      </c>
      <c r="C459" t="s">
        <v>35</v>
      </c>
      <c r="D459" s="11">
        <v>386</v>
      </c>
      <c r="E459">
        <v>10.81</v>
      </c>
      <c r="F459">
        <v>15</v>
      </c>
      <c r="G459">
        <f t="shared" si="49"/>
        <v>5790</v>
      </c>
      <c r="H459" t="s">
        <v>72</v>
      </c>
      <c r="J459" s="9">
        <v>45645</v>
      </c>
      <c r="K459" t="s">
        <v>41</v>
      </c>
      <c r="L459" t="s">
        <v>31</v>
      </c>
      <c r="M459" t="str">
        <f t="shared" si="50"/>
        <v>Private Industry</v>
      </c>
      <c r="N459" t="str">
        <f t="shared" si="51"/>
        <v>Small Order</v>
      </c>
      <c r="O459">
        <f t="shared" si="52"/>
        <v>0</v>
      </c>
      <c r="P459">
        <f t="shared" si="53"/>
        <v>0</v>
      </c>
      <c r="Q459" t="b">
        <f t="shared" si="54"/>
        <v>0</v>
      </c>
      <c r="R459">
        <f t="shared" si="55"/>
        <v>0</v>
      </c>
      <c r="S459" s="14">
        <f>_xlfn.XLOOKUP(B459,Summary!$C$10:$C$15,Summary!$B$10:$B$15)</f>
        <v>0.21</v>
      </c>
      <c r="T459">
        <f>IF(AND(H459="Yes",L459&lt;&gt;"Government"),G459*(_xlfn.XLOOKUP(B459,Summary!$C$10:$C$15,Summary!$B$10:$B$15)),0)</f>
        <v>0</v>
      </c>
    </row>
    <row r="460" spans="1:20" x14ac:dyDescent="0.25">
      <c r="A460">
        <v>47208</v>
      </c>
      <c r="B460" t="s">
        <v>42</v>
      </c>
      <c r="C460" t="s">
        <v>35</v>
      </c>
      <c r="D460" s="11">
        <v>2565</v>
      </c>
      <c r="E460">
        <v>10.35</v>
      </c>
      <c r="F460">
        <v>12</v>
      </c>
      <c r="G460">
        <f t="shared" si="49"/>
        <v>30780</v>
      </c>
      <c r="H460" t="s">
        <v>72</v>
      </c>
      <c r="J460" s="9">
        <v>45100</v>
      </c>
      <c r="K460" t="s">
        <v>40</v>
      </c>
      <c r="L460" t="s">
        <v>34</v>
      </c>
      <c r="M460" t="str">
        <f t="shared" si="50"/>
        <v>Private Industry</v>
      </c>
      <c r="N460" t="str">
        <f t="shared" si="51"/>
        <v>Large Order</v>
      </c>
      <c r="O460">
        <f t="shared" si="52"/>
        <v>0</v>
      </c>
      <c r="P460">
        <f t="shared" si="53"/>
        <v>0</v>
      </c>
      <c r="Q460" t="b">
        <f t="shared" si="54"/>
        <v>0</v>
      </c>
      <c r="R460">
        <f t="shared" si="55"/>
        <v>0</v>
      </c>
      <c r="S460" s="14">
        <f>_xlfn.XLOOKUP(B460,Summary!$C$10:$C$15,Summary!$B$10:$B$15)</f>
        <v>0.24</v>
      </c>
      <c r="T460">
        <f>IF(AND(H460="Yes",L460&lt;&gt;"Government"),G460*(_xlfn.XLOOKUP(B460,Summary!$C$10:$C$15,Summary!$B$10:$B$15)),0)</f>
        <v>0</v>
      </c>
    </row>
    <row r="461" spans="1:20" x14ac:dyDescent="0.25">
      <c r="A461">
        <v>75550</v>
      </c>
      <c r="B461" t="s">
        <v>42</v>
      </c>
      <c r="C461" t="s">
        <v>37</v>
      </c>
      <c r="D461" s="11">
        <v>2747</v>
      </c>
      <c r="E461">
        <v>250.74</v>
      </c>
      <c r="F461">
        <v>296</v>
      </c>
      <c r="G461">
        <f t="shared" si="49"/>
        <v>813112</v>
      </c>
      <c r="H461" t="s">
        <v>71</v>
      </c>
      <c r="J461" s="9">
        <v>45681</v>
      </c>
      <c r="K461" t="s">
        <v>40</v>
      </c>
      <c r="L461" t="s">
        <v>34</v>
      </c>
      <c r="M461" t="str">
        <f t="shared" si="50"/>
        <v>Private Industry</v>
      </c>
      <c r="N461" t="str">
        <f t="shared" si="51"/>
        <v>Large Order</v>
      </c>
      <c r="O461">
        <f t="shared" si="52"/>
        <v>187015.76</v>
      </c>
      <c r="P461">
        <f t="shared" si="53"/>
        <v>187015.76</v>
      </c>
      <c r="Q461" t="b">
        <f t="shared" si="54"/>
        <v>1</v>
      </c>
      <c r="R461">
        <f t="shared" si="55"/>
        <v>187015.76</v>
      </c>
      <c r="S461" s="14">
        <f>_xlfn.XLOOKUP(B461,Summary!$C$10:$C$15,Summary!$B$10:$B$15)</f>
        <v>0.24</v>
      </c>
      <c r="T461">
        <f>IF(AND(H461="Yes",L461&lt;&gt;"Government"),G461*(_xlfn.XLOOKUP(B461,Summary!$C$10:$C$15,Summary!$B$10:$B$15)),0)</f>
        <v>195146.88</v>
      </c>
    </row>
    <row r="462" spans="1:20" x14ac:dyDescent="0.25">
      <c r="A462">
        <v>87004</v>
      </c>
      <c r="B462" t="s">
        <v>43</v>
      </c>
      <c r="C462" t="s">
        <v>35</v>
      </c>
      <c r="D462" s="11">
        <v>267</v>
      </c>
      <c r="E462">
        <v>10.84</v>
      </c>
      <c r="F462">
        <v>12</v>
      </c>
      <c r="G462">
        <f t="shared" si="49"/>
        <v>3204</v>
      </c>
      <c r="H462" t="s">
        <v>72</v>
      </c>
      <c r="J462" s="9">
        <v>45506</v>
      </c>
      <c r="K462" t="s">
        <v>41</v>
      </c>
      <c r="L462" t="s">
        <v>24</v>
      </c>
      <c r="M462" t="str">
        <f t="shared" si="50"/>
        <v>Public Sector</v>
      </c>
      <c r="N462" t="str">
        <f t="shared" si="51"/>
        <v>Small Order</v>
      </c>
      <c r="O462">
        <f t="shared" si="52"/>
        <v>0</v>
      </c>
      <c r="P462">
        <f t="shared" si="53"/>
        <v>0</v>
      </c>
      <c r="Q462" t="b">
        <f t="shared" si="54"/>
        <v>0</v>
      </c>
      <c r="R462">
        <f t="shared" si="55"/>
        <v>0</v>
      </c>
      <c r="S462" s="14">
        <f>_xlfn.XLOOKUP(B462,Summary!$C$10:$C$15,Summary!$B$10:$B$15)</f>
        <v>0.21</v>
      </c>
      <c r="T462">
        <f>IF(AND(H462="Yes",L462&lt;&gt;"Government"),G462*(_xlfn.XLOOKUP(B462,Summary!$C$10:$C$15,Summary!$B$10:$B$15)),0)</f>
        <v>0</v>
      </c>
    </row>
    <row r="463" spans="1:20" x14ac:dyDescent="0.25">
      <c r="A463">
        <v>15241</v>
      </c>
      <c r="B463" t="s">
        <v>43</v>
      </c>
      <c r="C463" t="s">
        <v>30</v>
      </c>
      <c r="D463" s="11">
        <v>2996</v>
      </c>
      <c r="E463">
        <v>5.49</v>
      </c>
      <c r="F463">
        <v>6</v>
      </c>
      <c r="G463">
        <f t="shared" si="49"/>
        <v>17976</v>
      </c>
      <c r="H463" t="s">
        <v>72</v>
      </c>
      <c r="J463" s="9">
        <v>45333</v>
      </c>
      <c r="K463" t="s">
        <v>41</v>
      </c>
      <c r="L463" t="s">
        <v>24</v>
      </c>
      <c r="M463" t="str">
        <f t="shared" si="50"/>
        <v>Public Sector</v>
      </c>
      <c r="N463" t="str">
        <f t="shared" si="51"/>
        <v>Large Order</v>
      </c>
      <c r="O463">
        <f t="shared" si="52"/>
        <v>0</v>
      </c>
      <c r="P463">
        <f t="shared" si="53"/>
        <v>0</v>
      </c>
      <c r="Q463" t="b">
        <f t="shared" si="54"/>
        <v>0</v>
      </c>
      <c r="R463">
        <f t="shared" si="55"/>
        <v>0</v>
      </c>
      <c r="S463" s="14">
        <f>_xlfn.XLOOKUP(B463,Summary!$C$10:$C$15,Summary!$B$10:$B$15)</f>
        <v>0.21</v>
      </c>
      <c r="T463">
        <f>IF(AND(H463="Yes",L463&lt;&gt;"Government"),G463*(_xlfn.XLOOKUP(B463,Summary!$C$10:$C$15,Summary!$B$10:$B$15)),0)</f>
        <v>0</v>
      </c>
    </row>
    <row r="464" spans="1:20" x14ac:dyDescent="0.25">
      <c r="A464">
        <v>30380</v>
      </c>
      <c r="B464" t="s">
        <v>44</v>
      </c>
      <c r="C464" t="s">
        <v>25</v>
      </c>
      <c r="D464" s="11">
        <v>1445</v>
      </c>
      <c r="E464">
        <v>3.48</v>
      </c>
      <c r="F464">
        <v>5</v>
      </c>
      <c r="G464">
        <f t="shared" si="49"/>
        <v>7225</v>
      </c>
      <c r="H464" t="s">
        <v>72</v>
      </c>
      <c r="J464" s="9">
        <v>45592</v>
      </c>
      <c r="K464" t="s">
        <v>39</v>
      </c>
      <c r="L464" t="s">
        <v>31</v>
      </c>
      <c r="M464" t="str">
        <f t="shared" si="50"/>
        <v>Private Industry</v>
      </c>
      <c r="N464" t="str">
        <f t="shared" si="51"/>
        <v>Small Order</v>
      </c>
      <c r="O464">
        <f t="shared" si="52"/>
        <v>0</v>
      </c>
      <c r="P464">
        <f t="shared" si="53"/>
        <v>0</v>
      </c>
      <c r="Q464" t="b">
        <f t="shared" si="54"/>
        <v>0</v>
      </c>
      <c r="R464">
        <f t="shared" si="55"/>
        <v>0</v>
      </c>
      <c r="S464" s="14">
        <f>_xlfn.XLOOKUP(B464,Summary!$C$10:$C$15,Summary!$B$10:$B$15)</f>
        <v>0.2</v>
      </c>
      <c r="T464">
        <f>IF(AND(H464="Yes",L464&lt;&gt;"Government"),G464*(_xlfn.XLOOKUP(B464,Summary!$C$10:$C$15,Summary!$B$10:$B$15)),0)</f>
        <v>0</v>
      </c>
    </row>
    <row r="465" spans="1:20" x14ac:dyDescent="0.25">
      <c r="A465">
        <v>40276</v>
      </c>
      <c r="B465" t="s">
        <v>42</v>
      </c>
      <c r="C465" t="s">
        <v>25</v>
      </c>
      <c r="D465" s="11">
        <v>1540</v>
      </c>
      <c r="E465">
        <v>3.51</v>
      </c>
      <c r="F465">
        <v>5</v>
      </c>
      <c r="G465">
        <f t="shared" si="49"/>
        <v>7700</v>
      </c>
      <c r="H465" t="s">
        <v>72</v>
      </c>
      <c r="J465" s="9">
        <v>45161</v>
      </c>
      <c r="K465" t="s">
        <v>40</v>
      </c>
      <c r="L465" t="s">
        <v>33</v>
      </c>
      <c r="M465" t="str">
        <f t="shared" si="50"/>
        <v>Private Industry</v>
      </c>
      <c r="N465" t="str">
        <f t="shared" si="51"/>
        <v>Large Order</v>
      </c>
      <c r="O465">
        <f t="shared" si="52"/>
        <v>0</v>
      </c>
      <c r="P465">
        <f t="shared" si="53"/>
        <v>0</v>
      </c>
      <c r="Q465" t="b">
        <f t="shared" si="54"/>
        <v>0</v>
      </c>
      <c r="R465">
        <f t="shared" si="55"/>
        <v>0</v>
      </c>
      <c r="S465" s="14">
        <f>_xlfn.XLOOKUP(B465,Summary!$C$10:$C$15,Summary!$B$10:$B$15)</f>
        <v>0.24</v>
      </c>
      <c r="T465">
        <f>IF(AND(H465="Yes",L465&lt;&gt;"Government"),G465*(_xlfn.XLOOKUP(B465,Summary!$C$10:$C$15,Summary!$B$10:$B$15)),0)</f>
        <v>0</v>
      </c>
    </row>
    <row r="466" spans="1:20" x14ac:dyDescent="0.25">
      <c r="A466">
        <v>90609</v>
      </c>
      <c r="B466" t="s">
        <v>43</v>
      </c>
      <c r="C466" t="s">
        <v>38</v>
      </c>
      <c r="D466" s="11">
        <v>2993</v>
      </c>
      <c r="E466">
        <v>260.77</v>
      </c>
      <c r="F466">
        <v>350</v>
      </c>
      <c r="G466">
        <f t="shared" si="49"/>
        <v>1047550</v>
      </c>
      <c r="H466" t="s">
        <v>71</v>
      </c>
      <c r="J466" s="9">
        <v>45219</v>
      </c>
      <c r="K466" t="s">
        <v>41</v>
      </c>
      <c r="L466" t="s">
        <v>34</v>
      </c>
      <c r="M466" t="str">
        <f t="shared" si="50"/>
        <v>Private Industry</v>
      </c>
      <c r="N466" t="str">
        <f t="shared" si="51"/>
        <v>Large Order</v>
      </c>
      <c r="O466">
        <f t="shared" si="52"/>
        <v>240936.5</v>
      </c>
      <c r="P466">
        <f t="shared" si="53"/>
        <v>240936.5</v>
      </c>
      <c r="Q466" t="b">
        <f t="shared" si="54"/>
        <v>1</v>
      </c>
      <c r="R466">
        <f t="shared" si="55"/>
        <v>240936.5</v>
      </c>
      <c r="S466" s="14">
        <f>_xlfn.XLOOKUP(B466,Summary!$C$10:$C$15,Summary!$B$10:$B$15)</f>
        <v>0.21</v>
      </c>
      <c r="T466">
        <f>IF(AND(H466="Yes",L466&lt;&gt;"Government"),G466*(_xlfn.XLOOKUP(B466,Summary!$C$10:$C$15,Summary!$B$10:$B$15)),0)</f>
        <v>219985.5</v>
      </c>
    </row>
    <row r="467" spans="1:20" x14ac:dyDescent="0.25">
      <c r="A467">
        <v>14113</v>
      </c>
      <c r="B467" t="s">
        <v>44</v>
      </c>
      <c r="C467" t="s">
        <v>25</v>
      </c>
      <c r="D467" s="11">
        <v>2416</v>
      </c>
      <c r="E467">
        <v>3.67</v>
      </c>
      <c r="F467">
        <v>5</v>
      </c>
      <c r="G467">
        <f t="shared" si="49"/>
        <v>12080</v>
      </c>
      <c r="H467" t="s">
        <v>71</v>
      </c>
      <c r="J467" s="9">
        <v>45465</v>
      </c>
      <c r="K467" t="s">
        <v>41</v>
      </c>
      <c r="L467" t="s">
        <v>33</v>
      </c>
      <c r="M467" t="str">
        <f t="shared" si="50"/>
        <v>Private Industry</v>
      </c>
      <c r="N467" t="str">
        <f t="shared" si="51"/>
        <v>Large Order</v>
      </c>
      <c r="O467">
        <f t="shared" si="52"/>
        <v>2778.4</v>
      </c>
      <c r="P467">
        <f t="shared" si="53"/>
        <v>2778.4</v>
      </c>
      <c r="Q467" t="b">
        <f t="shared" si="54"/>
        <v>1</v>
      </c>
      <c r="R467">
        <f t="shared" si="55"/>
        <v>2778.4</v>
      </c>
      <c r="S467" s="14">
        <f>_xlfn.XLOOKUP(B467,Summary!$C$10:$C$15,Summary!$B$10:$B$15)</f>
        <v>0.2</v>
      </c>
      <c r="T467">
        <f>IF(AND(H467="Yes",L467&lt;&gt;"Government"),G467*(_xlfn.XLOOKUP(B467,Summary!$C$10:$C$15,Summary!$B$10:$B$15)),0)</f>
        <v>2416</v>
      </c>
    </row>
    <row r="468" spans="1:20" x14ac:dyDescent="0.25">
      <c r="A468">
        <v>68421</v>
      </c>
      <c r="B468" t="s">
        <v>27</v>
      </c>
      <c r="C468" t="s">
        <v>35</v>
      </c>
      <c r="D468" s="11">
        <v>2146</v>
      </c>
      <c r="E468">
        <v>10.84</v>
      </c>
      <c r="F468">
        <v>13</v>
      </c>
      <c r="G468">
        <f t="shared" si="49"/>
        <v>27898</v>
      </c>
      <c r="H468" t="s">
        <v>72</v>
      </c>
      <c r="J468" s="9">
        <v>45698</v>
      </c>
      <c r="K468" t="s">
        <v>40</v>
      </c>
      <c r="L468" t="s">
        <v>24</v>
      </c>
      <c r="M468" t="str">
        <f t="shared" si="50"/>
        <v>Public Sector</v>
      </c>
      <c r="N468" t="str">
        <f t="shared" si="51"/>
        <v>Large Order</v>
      </c>
      <c r="O468">
        <f t="shared" si="52"/>
        <v>0</v>
      </c>
      <c r="P468">
        <f t="shared" si="53"/>
        <v>0</v>
      </c>
      <c r="Q468" t="b">
        <f t="shared" si="54"/>
        <v>0</v>
      </c>
      <c r="R468">
        <f t="shared" si="55"/>
        <v>0</v>
      </c>
      <c r="S468" s="14">
        <f>_xlfn.XLOOKUP(B468,Summary!$C$10:$C$15,Summary!$B$10:$B$15)</f>
        <v>0.19</v>
      </c>
      <c r="T468">
        <f>IF(AND(H468="Yes",L468&lt;&gt;"Government"),G468*(_xlfn.XLOOKUP(B468,Summary!$C$10:$C$15,Summary!$B$10:$B$15)),0)</f>
        <v>0</v>
      </c>
    </row>
    <row r="469" spans="1:20" x14ac:dyDescent="0.25">
      <c r="A469">
        <v>91955</v>
      </c>
      <c r="B469" t="s">
        <v>43</v>
      </c>
      <c r="C469" t="s">
        <v>37</v>
      </c>
      <c r="D469" s="11">
        <v>1351</v>
      </c>
      <c r="E469">
        <v>250.93</v>
      </c>
      <c r="F469">
        <v>254</v>
      </c>
      <c r="G469">
        <f t="shared" si="49"/>
        <v>343154</v>
      </c>
      <c r="H469" t="s">
        <v>71</v>
      </c>
      <c r="J469" s="9">
        <v>45135</v>
      </c>
      <c r="K469" t="s">
        <v>40</v>
      </c>
      <c r="L469" t="s">
        <v>24</v>
      </c>
      <c r="M469" t="str">
        <f t="shared" si="50"/>
        <v>Public Sector</v>
      </c>
      <c r="N469" t="str">
        <f t="shared" si="51"/>
        <v>Small Order</v>
      </c>
      <c r="O469">
        <f t="shared" si="52"/>
        <v>78925.42</v>
      </c>
      <c r="P469">
        <f t="shared" si="53"/>
        <v>0</v>
      </c>
      <c r="Q469" t="b">
        <f t="shared" si="54"/>
        <v>0</v>
      </c>
      <c r="R469">
        <f t="shared" si="55"/>
        <v>0</v>
      </c>
      <c r="S469" s="14">
        <f>_xlfn.XLOOKUP(B469,Summary!$C$10:$C$15,Summary!$B$10:$B$15)</f>
        <v>0.21</v>
      </c>
      <c r="T469">
        <f>IF(AND(H469="Yes",L469&lt;&gt;"Government"),G469*(_xlfn.XLOOKUP(B469,Summary!$C$10:$C$15,Summary!$B$10:$B$15)),0)</f>
        <v>0</v>
      </c>
    </row>
    <row r="470" spans="1:20" x14ac:dyDescent="0.25">
      <c r="A470">
        <v>36095</v>
      </c>
      <c r="B470" t="s">
        <v>32</v>
      </c>
      <c r="C470" t="s">
        <v>35</v>
      </c>
      <c r="D470" s="11">
        <v>662</v>
      </c>
      <c r="E470">
        <v>10.94</v>
      </c>
      <c r="F470">
        <v>15</v>
      </c>
      <c r="G470">
        <f t="shared" si="49"/>
        <v>9930</v>
      </c>
      <c r="H470" t="s">
        <v>72</v>
      </c>
      <c r="J470" s="9">
        <v>45643</v>
      </c>
      <c r="K470" t="s">
        <v>39</v>
      </c>
      <c r="L470" t="s">
        <v>33</v>
      </c>
      <c r="M470" t="str">
        <f t="shared" si="50"/>
        <v>Private Industry</v>
      </c>
      <c r="N470" t="str">
        <f t="shared" si="51"/>
        <v>Small Order</v>
      </c>
      <c r="O470">
        <f t="shared" si="52"/>
        <v>0</v>
      </c>
      <c r="P470">
        <f t="shared" si="53"/>
        <v>0</v>
      </c>
      <c r="Q470" t="b">
        <f t="shared" si="54"/>
        <v>0</v>
      </c>
      <c r="R470">
        <f t="shared" si="55"/>
        <v>0</v>
      </c>
      <c r="S470" s="14">
        <f>_xlfn.XLOOKUP(B470,Summary!$C$10:$C$15,Summary!$B$10:$B$15)</f>
        <v>0.23</v>
      </c>
      <c r="T470">
        <f>IF(AND(H470="Yes",L470&lt;&gt;"Government"),G470*(_xlfn.XLOOKUP(B470,Summary!$C$10:$C$15,Summary!$B$10:$B$15)),0)</f>
        <v>0</v>
      </c>
    </row>
    <row r="471" spans="1:20" x14ac:dyDescent="0.25">
      <c r="A471">
        <v>60058</v>
      </c>
      <c r="B471" t="s">
        <v>27</v>
      </c>
      <c r="C471" t="s">
        <v>25</v>
      </c>
      <c r="D471" s="11">
        <v>442</v>
      </c>
      <c r="E471">
        <v>3.74</v>
      </c>
      <c r="F471">
        <v>6</v>
      </c>
      <c r="G471">
        <f t="shared" si="49"/>
        <v>2652</v>
      </c>
      <c r="H471" t="s">
        <v>71</v>
      </c>
      <c r="J471" s="9">
        <v>45082</v>
      </c>
      <c r="K471" t="s">
        <v>41</v>
      </c>
      <c r="L471" t="s">
        <v>24</v>
      </c>
      <c r="M471" t="str">
        <f t="shared" si="50"/>
        <v>Public Sector</v>
      </c>
      <c r="N471" t="str">
        <f t="shared" si="51"/>
        <v>Small Order</v>
      </c>
      <c r="O471">
        <f t="shared" si="52"/>
        <v>609.96</v>
      </c>
      <c r="P471">
        <f t="shared" si="53"/>
        <v>0</v>
      </c>
      <c r="Q471" t="b">
        <f t="shared" si="54"/>
        <v>0</v>
      </c>
      <c r="R471">
        <f t="shared" si="55"/>
        <v>0</v>
      </c>
      <c r="S471" s="14">
        <f>_xlfn.XLOOKUP(B471,Summary!$C$10:$C$15,Summary!$B$10:$B$15)</f>
        <v>0.19</v>
      </c>
      <c r="T471">
        <f>IF(AND(H471="Yes",L471&lt;&gt;"Government"),G471*(_xlfn.XLOOKUP(B471,Summary!$C$10:$C$15,Summary!$B$10:$B$15)),0)</f>
        <v>0</v>
      </c>
    </row>
    <row r="472" spans="1:20" x14ac:dyDescent="0.25">
      <c r="A472">
        <v>21609</v>
      </c>
      <c r="B472" t="s">
        <v>27</v>
      </c>
      <c r="C472" t="s">
        <v>38</v>
      </c>
      <c r="D472" s="11">
        <v>970</v>
      </c>
      <c r="E472">
        <v>260.11</v>
      </c>
      <c r="F472">
        <v>336</v>
      </c>
      <c r="G472">
        <f t="shared" si="49"/>
        <v>325920</v>
      </c>
      <c r="H472" t="s">
        <v>71</v>
      </c>
      <c r="J472" s="9">
        <v>45623</v>
      </c>
      <c r="K472" t="s">
        <v>40</v>
      </c>
      <c r="L472" t="s">
        <v>28</v>
      </c>
      <c r="M472" t="str">
        <f t="shared" si="50"/>
        <v>Private Industry</v>
      </c>
      <c r="N472" t="str">
        <f t="shared" si="51"/>
        <v>Small Order</v>
      </c>
      <c r="O472">
        <f t="shared" si="52"/>
        <v>74961.600000000006</v>
      </c>
      <c r="P472">
        <f t="shared" si="53"/>
        <v>74961.600000000006</v>
      </c>
      <c r="Q472" t="b">
        <f t="shared" si="54"/>
        <v>1</v>
      </c>
      <c r="R472">
        <f t="shared" si="55"/>
        <v>74961.600000000006</v>
      </c>
      <c r="S472" s="14">
        <f>_xlfn.XLOOKUP(B472,Summary!$C$10:$C$15,Summary!$B$10:$B$15)</f>
        <v>0.19</v>
      </c>
      <c r="T472">
        <f>IF(AND(H472="Yes",L472&lt;&gt;"Government"),G472*(_xlfn.XLOOKUP(B472,Summary!$C$10:$C$15,Summary!$B$10:$B$15)),0)</f>
        <v>61924.800000000003</v>
      </c>
    </row>
    <row r="473" spans="1:20" x14ac:dyDescent="0.25">
      <c r="A473">
        <v>90080</v>
      </c>
      <c r="B473" t="s">
        <v>29</v>
      </c>
      <c r="C473" t="s">
        <v>30</v>
      </c>
      <c r="D473" s="11">
        <v>1976</v>
      </c>
      <c r="E473">
        <v>5.95</v>
      </c>
      <c r="F473">
        <v>7</v>
      </c>
      <c r="G473">
        <f t="shared" si="49"/>
        <v>13832</v>
      </c>
      <c r="H473" t="s">
        <v>72</v>
      </c>
      <c r="J473" s="9">
        <v>45392</v>
      </c>
      <c r="K473" t="s">
        <v>40</v>
      </c>
      <c r="L473" t="s">
        <v>24</v>
      </c>
      <c r="M473" t="str">
        <f t="shared" si="50"/>
        <v>Public Sector</v>
      </c>
      <c r="N473" t="str">
        <f t="shared" si="51"/>
        <v>Large Order</v>
      </c>
      <c r="O473">
        <f t="shared" si="52"/>
        <v>0</v>
      </c>
      <c r="P473">
        <f t="shared" si="53"/>
        <v>0</v>
      </c>
      <c r="Q473" t="b">
        <f t="shared" si="54"/>
        <v>0</v>
      </c>
      <c r="R473">
        <f t="shared" si="55"/>
        <v>0</v>
      </c>
      <c r="S473" s="14">
        <f>_xlfn.XLOOKUP(B473,Summary!$C$10:$C$15,Summary!$B$10:$B$15)</f>
        <v>0.22</v>
      </c>
      <c r="T473">
        <f>IF(AND(H473="Yes",L473&lt;&gt;"Government"),G473*(_xlfn.XLOOKUP(B473,Summary!$C$10:$C$15,Summary!$B$10:$B$15)),0)</f>
        <v>0</v>
      </c>
    </row>
    <row r="474" spans="1:20" x14ac:dyDescent="0.25">
      <c r="A474">
        <v>23603</v>
      </c>
      <c r="B474" t="s">
        <v>42</v>
      </c>
      <c r="C474" t="s">
        <v>35</v>
      </c>
      <c r="D474" s="11">
        <v>2150</v>
      </c>
      <c r="E474">
        <v>10.11</v>
      </c>
      <c r="F474">
        <v>14</v>
      </c>
      <c r="G474">
        <f t="shared" si="49"/>
        <v>30100</v>
      </c>
      <c r="H474" t="s">
        <v>71</v>
      </c>
      <c r="J474" s="9">
        <v>45179</v>
      </c>
      <c r="K474" t="s">
        <v>41</v>
      </c>
      <c r="L474" t="s">
        <v>34</v>
      </c>
      <c r="M474" t="str">
        <f t="shared" si="50"/>
        <v>Private Industry</v>
      </c>
      <c r="N474" t="str">
        <f t="shared" si="51"/>
        <v>Large Order</v>
      </c>
      <c r="O474">
        <f t="shared" si="52"/>
        <v>6923</v>
      </c>
      <c r="P474">
        <f t="shared" si="53"/>
        <v>6923</v>
      </c>
      <c r="Q474" t="b">
        <f t="shared" si="54"/>
        <v>1</v>
      </c>
      <c r="R474">
        <f t="shared" si="55"/>
        <v>6923</v>
      </c>
      <c r="S474" s="14">
        <f>_xlfn.XLOOKUP(B474,Summary!$C$10:$C$15,Summary!$B$10:$B$15)</f>
        <v>0.24</v>
      </c>
      <c r="T474">
        <f>IF(AND(H474="Yes",L474&lt;&gt;"Government"),G474*(_xlfn.XLOOKUP(B474,Summary!$C$10:$C$15,Summary!$B$10:$B$15)),0)</f>
        <v>7224</v>
      </c>
    </row>
    <row r="475" spans="1:20" x14ac:dyDescent="0.25">
      <c r="A475">
        <v>15509</v>
      </c>
      <c r="B475" t="s">
        <v>44</v>
      </c>
      <c r="C475" t="s">
        <v>37</v>
      </c>
      <c r="D475" s="11">
        <v>865</v>
      </c>
      <c r="E475">
        <v>250.53</v>
      </c>
      <c r="F475">
        <v>369</v>
      </c>
      <c r="G475">
        <f t="shared" si="49"/>
        <v>319185</v>
      </c>
      <c r="H475" t="s">
        <v>71</v>
      </c>
      <c r="J475" s="9">
        <v>45774</v>
      </c>
      <c r="K475" t="s">
        <v>41</v>
      </c>
      <c r="L475" t="s">
        <v>24</v>
      </c>
      <c r="M475" t="str">
        <f t="shared" si="50"/>
        <v>Public Sector</v>
      </c>
      <c r="N475" t="str">
        <f t="shared" si="51"/>
        <v>Small Order</v>
      </c>
      <c r="O475">
        <f t="shared" si="52"/>
        <v>73412.55</v>
      </c>
      <c r="P475">
        <f t="shared" si="53"/>
        <v>0</v>
      </c>
      <c r="Q475" t="b">
        <f t="shared" si="54"/>
        <v>0</v>
      </c>
      <c r="R475">
        <f t="shared" si="55"/>
        <v>0</v>
      </c>
      <c r="S475" s="14">
        <f>_xlfn.XLOOKUP(B475,Summary!$C$10:$C$15,Summary!$B$10:$B$15)</f>
        <v>0.2</v>
      </c>
      <c r="T475">
        <f>IF(AND(H475="Yes",L475&lt;&gt;"Government"),G475*(_xlfn.XLOOKUP(B475,Summary!$C$10:$C$15,Summary!$B$10:$B$15)),0)</f>
        <v>0</v>
      </c>
    </row>
    <row r="476" spans="1:20" x14ac:dyDescent="0.25">
      <c r="A476">
        <v>27664</v>
      </c>
      <c r="B476" t="s">
        <v>27</v>
      </c>
      <c r="C476" t="s">
        <v>38</v>
      </c>
      <c r="D476" s="11">
        <v>3165</v>
      </c>
      <c r="E476">
        <v>260.95</v>
      </c>
      <c r="F476">
        <v>308</v>
      </c>
      <c r="G476">
        <f t="shared" si="49"/>
        <v>974820</v>
      </c>
      <c r="H476" t="s">
        <v>72</v>
      </c>
      <c r="J476" s="9">
        <v>45119</v>
      </c>
      <c r="K476" t="s">
        <v>41</v>
      </c>
      <c r="L476" t="s">
        <v>33</v>
      </c>
      <c r="M476" t="str">
        <f t="shared" si="50"/>
        <v>Private Industry</v>
      </c>
      <c r="N476" t="str">
        <f t="shared" si="51"/>
        <v>Large Order</v>
      </c>
      <c r="O476">
        <f t="shared" si="52"/>
        <v>0</v>
      </c>
      <c r="P476">
        <f t="shared" si="53"/>
        <v>0</v>
      </c>
      <c r="Q476" t="b">
        <f t="shared" si="54"/>
        <v>0</v>
      </c>
      <c r="R476">
        <f t="shared" si="55"/>
        <v>0</v>
      </c>
      <c r="S476" s="14">
        <f>_xlfn.XLOOKUP(B476,Summary!$C$10:$C$15,Summary!$B$10:$B$15)</f>
        <v>0.19</v>
      </c>
      <c r="T476">
        <f>IF(AND(H476="Yes",L476&lt;&gt;"Government"),G476*(_xlfn.XLOOKUP(B476,Summary!$C$10:$C$15,Summary!$B$10:$B$15)),0)</f>
        <v>0</v>
      </c>
    </row>
    <row r="477" spans="1:20" x14ac:dyDescent="0.25">
      <c r="A477">
        <v>48179</v>
      </c>
      <c r="B477" t="s">
        <v>27</v>
      </c>
      <c r="C477" t="s">
        <v>35</v>
      </c>
      <c r="D477" s="11">
        <v>795</v>
      </c>
      <c r="E477">
        <v>10.4</v>
      </c>
      <c r="F477">
        <v>11</v>
      </c>
      <c r="G477">
        <f t="shared" si="49"/>
        <v>8745</v>
      </c>
      <c r="H477" t="s">
        <v>72</v>
      </c>
      <c r="J477" s="9">
        <v>45408</v>
      </c>
      <c r="K477" t="s">
        <v>39</v>
      </c>
      <c r="L477" t="s">
        <v>33</v>
      </c>
      <c r="M477" t="str">
        <f t="shared" si="50"/>
        <v>Private Industry</v>
      </c>
      <c r="N477" t="str">
        <f t="shared" si="51"/>
        <v>Small Order</v>
      </c>
      <c r="O477">
        <f t="shared" si="52"/>
        <v>0</v>
      </c>
      <c r="P477">
        <f t="shared" si="53"/>
        <v>0</v>
      </c>
      <c r="Q477" t="b">
        <f t="shared" si="54"/>
        <v>0</v>
      </c>
      <c r="R477">
        <f t="shared" si="55"/>
        <v>0</v>
      </c>
      <c r="S477" s="14">
        <f>_xlfn.XLOOKUP(B477,Summary!$C$10:$C$15,Summary!$B$10:$B$15)</f>
        <v>0.19</v>
      </c>
      <c r="T477">
        <f>IF(AND(H477="Yes",L477&lt;&gt;"Government"),G477*(_xlfn.XLOOKUP(B477,Summary!$C$10:$C$15,Summary!$B$10:$B$15)),0)</f>
        <v>0</v>
      </c>
    </row>
    <row r="478" spans="1:20" x14ac:dyDescent="0.25">
      <c r="A478">
        <v>72365</v>
      </c>
      <c r="B478" t="s">
        <v>29</v>
      </c>
      <c r="C478" t="s">
        <v>36</v>
      </c>
      <c r="D478" s="11">
        <v>1804</v>
      </c>
      <c r="E478">
        <v>120.71</v>
      </c>
      <c r="F478">
        <v>171</v>
      </c>
      <c r="G478">
        <f t="shared" si="49"/>
        <v>308484</v>
      </c>
      <c r="H478" t="s">
        <v>72</v>
      </c>
      <c r="J478" s="9">
        <v>45322</v>
      </c>
      <c r="K478" t="s">
        <v>26</v>
      </c>
      <c r="L478" t="s">
        <v>33</v>
      </c>
      <c r="M478" t="str">
        <f t="shared" si="50"/>
        <v>Private Industry</v>
      </c>
      <c r="N478" t="str">
        <f t="shared" si="51"/>
        <v>Large Order</v>
      </c>
      <c r="O478">
        <f t="shared" si="52"/>
        <v>0</v>
      </c>
      <c r="P478">
        <f t="shared" si="53"/>
        <v>0</v>
      </c>
      <c r="Q478" t="b">
        <f t="shared" si="54"/>
        <v>0</v>
      </c>
      <c r="R478">
        <f t="shared" si="55"/>
        <v>0</v>
      </c>
      <c r="S478" s="14">
        <f>_xlfn.XLOOKUP(B478,Summary!$C$10:$C$15,Summary!$B$10:$B$15)</f>
        <v>0.22</v>
      </c>
      <c r="T478">
        <f>IF(AND(H478="Yes",L478&lt;&gt;"Government"),G478*(_xlfn.XLOOKUP(B478,Summary!$C$10:$C$15,Summary!$B$10:$B$15)),0)</f>
        <v>0</v>
      </c>
    </row>
    <row r="479" spans="1:20" x14ac:dyDescent="0.25">
      <c r="A479">
        <v>14610</v>
      </c>
      <c r="B479" t="s">
        <v>44</v>
      </c>
      <c r="C479" t="s">
        <v>35</v>
      </c>
      <c r="D479" s="11">
        <v>218</v>
      </c>
      <c r="E479">
        <v>10.75</v>
      </c>
      <c r="F479">
        <v>17</v>
      </c>
      <c r="G479">
        <f t="shared" si="49"/>
        <v>3706</v>
      </c>
      <c r="H479" t="s">
        <v>72</v>
      </c>
      <c r="J479" s="9">
        <v>45309</v>
      </c>
      <c r="K479" t="s">
        <v>39</v>
      </c>
      <c r="L479" t="s">
        <v>28</v>
      </c>
      <c r="M479" t="str">
        <f t="shared" si="50"/>
        <v>Private Industry</v>
      </c>
      <c r="N479" t="str">
        <f t="shared" si="51"/>
        <v>Small Order</v>
      </c>
      <c r="O479">
        <f t="shared" si="52"/>
        <v>0</v>
      </c>
      <c r="P479">
        <f t="shared" si="53"/>
        <v>0</v>
      </c>
      <c r="Q479" t="b">
        <f t="shared" si="54"/>
        <v>0</v>
      </c>
      <c r="R479">
        <f t="shared" si="55"/>
        <v>0</v>
      </c>
      <c r="S479" s="14">
        <f>_xlfn.XLOOKUP(B479,Summary!$C$10:$C$15,Summary!$B$10:$B$15)</f>
        <v>0.2</v>
      </c>
      <c r="T479">
        <f>IF(AND(H479="Yes",L479&lt;&gt;"Government"),G479*(_xlfn.XLOOKUP(B479,Summary!$C$10:$C$15,Summary!$B$10:$B$15)),0)</f>
        <v>0</v>
      </c>
    </row>
    <row r="480" spans="1:20" x14ac:dyDescent="0.25">
      <c r="A480">
        <v>30283</v>
      </c>
      <c r="B480" t="s">
        <v>32</v>
      </c>
      <c r="C480" t="s">
        <v>37</v>
      </c>
      <c r="D480" s="11">
        <v>1945</v>
      </c>
      <c r="E480">
        <v>250.71</v>
      </c>
      <c r="F480">
        <v>331</v>
      </c>
      <c r="G480">
        <f t="shared" si="49"/>
        <v>643795</v>
      </c>
      <c r="H480" t="s">
        <v>72</v>
      </c>
      <c r="J480" s="9">
        <v>45572</v>
      </c>
      <c r="K480" t="s">
        <v>39</v>
      </c>
      <c r="L480" t="s">
        <v>28</v>
      </c>
      <c r="M480" t="str">
        <f t="shared" si="50"/>
        <v>Private Industry</v>
      </c>
      <c r="N480" t="str">
        <f t="shared" si="51"/>
        <v>Large Order</v>
      </c>
      <c r="O480">
        <f t="shared" si="52"/>
        <v>0</v>
      </c>
      <c r="P480">
        <f t="shared" si="53"/>
        <v>0</v>
      </c>
      <c r="Q480" t="b">
        <f t="shared" si="54"/>
        <v>0</v>
      </c>
      <c r="R480">
        <f t="shared" si="55"/>
        <v>0</v>
      </c>
      <c r="S480" s="14">
        <f>_xlfn.XLOOKUP(B480,Summary!$C$10:$C$15,Summary!$B$10:$B$15)</f>
        <v>0.23</v>
      </c>
      <c r="T480">
        <f>IF(AND(H480="Yes",L480&lt;&gt;"Government"),G480*(_xlfn.XLOOKUP(B480,Summary!$C$10:$C$15,Summary!$B$10:$B$15)),0)</f>
        <v>0</v>
      </c>
    </row>
    <row r="481" spans="1:20" x14ac:dyDescent="0.25">
      <c r="A481">
        <v>65591</v>
      </c>
      <c r="B481" t="s">
        <v>29</v>
      </c>
      <c r="C481" t="s">
        <v>37</v>
      </c>
      <c r="D481" s="11">
        <v>1491</v>
      </c>
      <c r="E481">
        <v>250.85</v>
      </c>
      <c r="F481">
        <v>276</v>
      </c>
      <c r="G481">
        <f t="shared" si="49"/>
        <v>411516</v>
      </c>
      <c r="H481" t="s">
        <v>72</v>
      </c>
      <c r="J481" s="9">
        <v>45792</v>
      </c>
      <c r="K481" t="s">
        <v>41</v>
      </c>
      <c r="L481" t="s">
        <v>24</v>
      </c>
      <c r="M481" t="str">
        <f t="shared" si="50"/>
        <v>Public Sector</v>
      </c>
      <c r="N481" t="str">
        <f t="shared" si="51"/>
        <v>Small Order</v>
      </c>
      <c r="O481">
        <f t="shared" si="52"/>
        <v>0</v>
      </c>
      <c r="P481">
        <f t="shared" si="53"/>
        <v>0</v>
      </c>
      <c r="Q481" t="b">
        <f t="shared" si="54"/>
        <v>0</v>
      </c>
      <c r="R481">
        <f t="shared" si="55"/>
        <v>0</v>
      </c>
      <c r="S481" s="14">
        <f>_xlfn.XLOOKUP(B481,Summary!$C$10:$C$15,Summary!$B$10:$B$15)</f>
        <v>0.22</v>
      </c>
      <c r="T481">
        <f>IF(AND(H481="Yes",L481&lt;&gt;"Government"),G481*(_xlfn.XLOOKUP(B481,Summary!$C$10:$C$15,Summary!$B$10:$B$15)),0)</f>
        <v>0</v>
      </c>
    </row>
    <row r="482" spans="1:20" x14ac:dyDescent="0.25">
      <c r="A482">
        <v>64319</v>
      </c>
      <c r="B482" t="s">
        <v>27</v>
      </c>
      <c r="C482" t="s">
        <v>35</v>
      </c>
      <c r="D482" s="11">
        <v>278</v>
      </c>
      <c r="E482">
        <v>10.220000000000001</v>
      </c>
      <c r="F482">
        <v>13</v>
      </c>
      <c r="G482">
        <f t="shared" si="49"/>
        <v>3614</v>
      </c>
      <c r="H482" t="s">
        <v>71</v>
      </c>
      <c r="J482" s="9">
        <v>45690</v>
      </c>
      <c r="K482" t="s">
        <v>41</v>
      </c>
      <c r="L482" t="s">
        <v>28</v>
      </c>
      <c r="M482" t="str">
        <f t="shared" si="50"/>
        <v>Private Industry</v>
      </c>
      <c r="N482" t="str">
        <f t="shared" si="51"/>
        <v>Small Order</v>
      </c>
      <c r="O482">
        <f t="shared" si="52"/>
        <v>831.22</v>
      </c>
      <c r="P482">
        <f t="shared" si="53"/>
        <v>831.22</v>
      </c>
      <c r="Q482" t="b">
        <f t="shared" si="54"/>
        <v>1</v>
      </c>
      <c r="R482">
        <f t="shared" si="55"/>
        <v>831.22</v>
      </c>
      <c r="S482" s="14">
        <f>_xlfn.XLOOKUP(B482,Summary!$C$10:$C$15,Summary!$B$10:$B$15)</f>
        <v>0.19</v>
      </c>
      <c r="T482">
        <f>IF(AND(H482="Yes",L482&lt;&gt;"Government"),G482*(_xlfn.XLOOKUP(B482,Summary!$C$10:$C$15,Summary!$B$10:$B$15)),0)</f>
        <v>686.66</v>
      </c>
    </row>
    <row r="483" spans="1:20" x14ac:dyDescent="0.25">
      <c r="A483">
        <v>74977</v>
      </c>
      <c r="B483" t="s">
        <v>32</v>
      </c>
      <c r="C483" t="s">
        <v>38</v>
      </c>
      <c r="D483" s="11">
        <v>1659</v>
      </c>
      <c r="E483">
        <v>260.27999999999997</v>
      </c>
      <c r="F483">
        <v>308</v>
      </c>
      <c r="G483">
        <f t="shared" si="49"/>
        <v>510972</v>
      </c>
      <c r="H483" t="s">
        <v>71</v>
      </c>
      <c r="J483" s="9">
        <v>45564</v>
      </c>
      <c r="K483" t="s">
        <v>41</v>
      </c>
      <c r="L483" t="s">
        <v>33</v>
      </c>
      <c r="M483" t="str">
        <f t="shared" si="50"/>
        <v>Private Industry</v>
      </c>
      <c r="N483" t="str">
        <f t="shared" si="51"/>
        <v>Large Order</v>
      </c>
      <c r="O483">
        <f t="shared" si="52"/>
        <v>117523.56000000001</v>
      </c>
      <c r="P483">
        <f t="shared" si="53"/>
        <v>117523.56000000001</v>
      </c>
      <c r="Q483" t="b">
        <f t="shared" si="54"/>
        <v>1</v>
      </c>
      <c r="R483">
        <f t="shared" si="55"/>
        <v>117523.56000000001</v>
      </c>
      <c r="S483" s="14">
        <f>_xlfn.XLOOKUP(B483,Summary!$C$10:$C$15,Summary!$B$10:$B$15)</f>
        <v>0.23</v>
      </c>
      <c r="T483">
        <f>IF(AND(H483="Yes",L483&lt;&gt;"Government"),G483*(_xlfn.XLOOKUP(B483,Summary!$C$10:$C$15,Summary!$B$10:$B$15)),0)</f>
        <v>117523.56000000001</v>
      </c>
    </row>
    <row r="484" spans="1:20" x14ac:dyDescent="0.25">
      <c r="A484">
        <v>75108</v>
      </c>
      <c r="B484" t="s">
        <v>44</v>
      </c>
      <c r="C484" t="s">
        <v>38</v>
      </c>
      <c r="D484" s="11">
        <v>707</v>
      </c>
      <c r="E484">
        <v>260.16000000000003</v>
      </c>
      <c r="F484">
        <v>365</v>
      </c>
      <c r="G484">
        <f t="shared" si="49"/>
        <v>258055</v>
      </c>
      <c r="H484" t="s">
        <v>71</v>
      </c>
      <c r="J484" s="9">
        <v>45325</v>
      </c>
      <c r="K484" t="s">
        <v>41</v>
      </c>
      <c r="L484" t="s">
        <v>24</v>
      </c>
      <c r="M484" t="str">
        <f t="shared" si="50"/>
        <v>Public Sector</v>
      </c>
      <c r="N484" t="str">
        <f t="shared" si="51"/>
        <v>Small Order</v>
      </c>
      <c r="O484">
        <f t="shared" si="52"/>
        <v>59352.65</v>
      </c>
      <c r="P484">
        <f t="shared" si="53"/>
        <v>0</v>
      </c>
      <c r="Q484" t="b">
        <f t="shared" si="54"/>
        <v>0</v>
      </c>
      <c r="R484">
        <f t="shared" si="55"/>
        <v>0</v>
      </c>
      <c r="S484" s="14">
        <f>_xlfn.XLOOKUP(B484,Summary!$C$10:$C$15,Summary!$B$10:$B$15)</f>
        <v>0.2</v>
      </c>
      <c r="T484">
        <f>IF(AND(H484="Yes",L484&lt;&gt;"Government"),G484*(_xlfn.XLOOKUP(B484,Summary!$C$10:$C$15,Summary!$B$10:$B$15)),0)</f>
        <v>0</v>
      </c>
    </row>
    <row r="485" spans="1:20" x14ac:dyDescent="0.25">
      <c r="A485">
        <v>97619</v>
      </c>
      <c r="B485" t="s">
        <v>42</v>
      </c>
      <c r="C485" t="s">
        <v>25</v>
      </c>
      <c r="D485" s="11">
        <v>1210</v>
      </c>
      <c r="E485">
        <v>3.12</v>
      </c>
      <c r="F485">
        <v>4</v>
      </c>
      <c r="G485">
        <f t="shared" si="49"/>
        <v>4840</v>
      </c>
      <c r="H485" t="s">
        <v>71</v>
      </c>
      <c r="J485" s="9">
        <v>45180</v>
      </c>
      <c r="K485" t="s">
        <v>39</v>
      </c>
      <c r="L485" t="s">
        <v>24</v>
      </c>
      <c r="M485" t="str">
        <f t="shared" si="50"/>
        <v>Public Sector</v>
      </c>
      <c r="N485" t="str">
        <f t="shared" si="51"/>
        <v>Small Order</v>
      </c>
      <c r="O485">
        <f t="shared" si="52"/>
        <v>1113.2</v>
      </c>
      <c r="P485">
        <f t="shared" si="53"/>
        <v>0</v>
      </c>
      <c r="Q485" t="b">
        <f t="shared" si="54"/>
        <v>0</v>
      </c>
      <c r="R485">
        <f t="shared" si="55"/>
        <v>0</v>
      </c>
      <c r="S485" s="14">
        <f>_xlfn.XLOOKUP(B485,Summary!$C$10:$C$15,Summary!$B$10:$B$15)</f>
        <v>0.24</v>
      </c>
      <c r="T485">
        <f>IF(AND(H485="Yes",L485&lt;&gt;"Government"),G485*(_xlfn.XLOOKUP(B485,Summary!$C$10:$C$15,Summary!$B$10:$B$15)),0)</f>
        <v>0</v>
      </c>
    </row>
    <row r="486" spans="1:20" x14ac:dyDescent="0.25">
      <c r="A486">
        <v>76220</v>
      </c>
      <c r="B486" t="s">
        <v>42</v>
      </c>
      <c r="C486" t="s">
        <v>35</v>
      </c>
      <c r="D486" s="11">
        <v>260</v>
      </c>
      <c r="E486">
        <v>10.96</v>
      </c>
      <c r="F486">
        <v>13</v>
      </c>
      <c r="G486">
        <f t="shared" si="49"/>
        <v>3380</v>
      </c>
      <c r="H486" t="s">
        <v>72</v>
      </c>
      <c r="J486" s="9">
        <v>45527</v>
      </c>
      <c r="K486" t="s">
        <v>41</v>
      </c>
      <c r="L486" t="s">
        <v>24</v>
      </c>
      <c r="M486" t="str">
        <f t="shared" si="50"/>
        <v>Public Sector</v>
      </c>
      <c r="N486" t="str">
        <f t="shared" si="51"/>
        <v>Small Order</v>
      </c>
      <c r="O486">
        <f t="shared" si="52"/>
        <v>0</v>
      </c>
      <c r="P486">
        <f t="shared" si="53"/>
        <v>0</v>
      </c>
      <c r="Q486" t="b">
        <f t="shared" si="54"/>
        <v>0</v>
      </c>
      <c r="R486">
        <f t="shared" si="55"/>
        <v>0</v>
      </c>
      <c r="S486" s="14">
        <f>_xlfn.XLOOKUP(B486,Summary!$C$10:$C$15,Summary!$B$10:$B$15)</f>
        <v>0.24</v>
      </c>
      <c r="T486">
        <f>IF(AND(H486="Yes",L486&lt;&gt;"Government"),G486*(_xlfn.XLOOKUP(B486,Summary!$C$10:$C$15,Summary!$B$10:$B$15)),0)</f>
        <v>0</v>
      </c>
    </row>
    <row r="487" spans="1:20" x14ac:dyDescent="0.25">
      <c r="A487">
        <v>79515</v>
      </c>
      <c r="B487" t="s">
        <v>43</v>
      </c>
      <c r="C487" t="s">
        <v>37</v>
      </c>
      <c r="D487" s="11">
        <v>1153</v>
      </c>
      <c r="E487">
        <v>250.36</v>
      </c>
      <c r="F487">
        <v>341</v>
      </c>
      <c r="G487">
        <f t="shared" si="49"/>
        <v>393173</v>
      </c>
      <c r="H487" t="s">
        <v>71</v>
      </c>
      <c r="J487" s="9">
        <v>45784</v>
      </c>
      <c r="K487" t="s">
        <v>40</v>
      </c>
      <c r="L487" t="s">
        <v>28</v>
      </c>
      <c r="M487" t="str">
        <f t="shared" si="50"/>
        <v>Private Industry</v>
      </c>
      <c r="N487" t="str">
        <f t="shared" si="51"/>
        <v>Small Order</v>
      </c>
      <c r="O487">
        <f t="shared" si="52"/>
        <v>90429.790000000008</v>
      </c>
      <c r="P487">
        <f t="shared" si="53"/>
        <v>90429.790000000008</v>
      </c>
      <c r="Q487" t="b">
        <f t="shared" si="54"/>
        <v>1</v>
      </c>
      <c r="R487">
        <f t="shared" si="55"/>
        <v>90429.790000000008</v>
      </c>
      <c r="S487" s="14">
        <f>_xlfn.XLOOKUP(B487,Summary!$C$10:$C$15,Summary!$B$10:$B$15)</f>
        <v>0.21</v>
      </c>
      <c r="T487">
        <f>IF(AND(H487="Yes",L487&lt;&gt;"Government"),G487*(_xlfn.XLOOKUP(B487,Summary!$C$10:$C$15,Summary!$B$10:$B$15)),0)</f>
        <v>82566.33</v>
      </c>
    </row>
    <row r="488" spans="1:20" x14ac:dyDescent="0.25">
      <c r="A488">
        <v>74936</v>
      </c>
      <c r="B488" t="s">
        <v>32</v>
      </c>
      <c r="C488" t="s">
        <v>37</v>
      </c>
      <c r="D488" s="11">
        <v>1940</v>
      </c>
      <c r="E488">
        <v>250.4</v>
      </c>
      <c r="F488">
        <v>336</v>
      </c>
      <c r="G488">
        <f t="shared" si="49"/>
        <v>651840</v>
      </c>
      <c r="H488" t="s">
        <v>71</v>
      </c>
      <c r="J488" s="9">
        <v>45483</v>
      </c>
      <c r="K488" t="s">
        <v>39</v>
      </c>
      <c r="L488" t="s">
        <v>24</v>
      </c>
      <c r="M488" t="str">
        <f t="shared" si="50"/>
        <v>Public Sector</v>
      </c>
      <c r="N488" t="str">
        <f t="shared" si="51"/>
        <v>Large Order</v>
      </c>
      <c r="O488">
        <f t="shared" si="52"/>
        <v>149923.20000000001</v>
      </c>
      <c r="P488">
        <f t="shared" si="53"/>
        <v>0</v>
      </c>
      <c r="Q488" t="b">
        <f t="shared" si="54"/>
        <v>0</v>
      </c>
      <c r="R488">
        <f t="shared" si="55"/>
        <v>0</v>
      </c>
      <c r="S488" s="14">
        <f>_xlfn.XLOOKUP(B488,Summary!$C$10:$C$15,Summary!$B$10:$B$15)</f>
        <v>0.23</v>
      </c>
      <c r="T488">
        <f>IF(AND(H488="Yes",L488&lt;&gt;"Government"),G488*(_xlfn.XLOOKUP(B488,Summary!$C$10:$C$15,Summary!$B$10:$B$15)),0)</f>
        <v>0</v>
      </c>
    </row>
    <row r="489" spans="1:20" x14ac:dyDescent="0.25">
      <c r="A489">
        <v>74184</v>
      </c>
      <c r="B489" t="s">
        <v>32</v>
      </c>
      <c r="C489" t="s">
        <v>35</v>
      </c>
      <c r="D489" s="11">
        <v>1084</v>
      </c>
      <c r="E489">
        <v>10.41</v>
      </c>
      <c r="F489">
        <v>12</v>
      </c>
      <c r="G489">
        <f t="shared" si="49"/>
        <v>13008</v>
      </c>
      <c r="H489" t="s">
        <v>71</v>
      </c>
      <c r="J489" s="9">
        <v>45527</v>
      </c>
      <c r="K489" t="s">
        <v>39</v>
      </c>
      <c r="L489" t="s">
        <v>31</v>
      </c>
      <c r="M489" t="str">
        <f t="shared" si="50"/>
        <v>Private Industry</v>
      </c>
      <c r="N489" t="str">
        <f t="shared" si="51"/>
        <v>Small Order</v>
      </c>
      <c r="O489">
        <f t="shared" si="52"/>
        <v>2991.84</v>
      </c>
      <c r="P489">
        <f t="shared" si="53"/>
        <v>2991.84</v>
      </c>
      <c r="Q489" t="b">
        <f t="shared" si="54"/>
        <v>1</v>
      </c>
      <c r="R489">
        <f t="shared" si="55"/>
        <v>2991.84</v>
      </c>
      <c r="S489" s="14">
        <f>_xlfn.XLOOKUP(B489,Summary!$C$10:$C$15,Summary!$B$10:$B$15)</f>
        <v>0.23</v>
      </c>
      <c r="T489">
        <f>IF(AND(H489="Yes",L489&lt;&gt;"Government"),G489*(_xlfn.XLOOKUP(B489,Summary!$C$10:$C$15,Summary!$B$10:$B$15)),0)</f>
        <v>2991.84</v>
      </c>
    </row>
    <row r="490" spans="1:20" x14ac:dyDescent="0.25">
      <c r="A490">
        <v>38910</v>
      </c>
      <c r="B490" t="s">
        <v>27</v>
      </c>
      <c r="C490" t="s">
        <v>36</v>
      </c>
      <c r="D490" s="11">
        <v>660</v>
      </c>
      <c r="E490">
        <v>120.19</v>
      </c>
      <c r="F490">
        <v>133</v>
      </c>
      <c r="G490">
        <f t="shared" si="49"/>
        <v>87780</v>
      </c>
      <c r="H490" t="s">
        <v>71</v>
      </c>
      <c r="J490" s="9">
        <v>45185</v>
      </c>
      <c r="K490" t="s">
        <v>41</v>
      </c>
      <c r="L490" t="s">
        <v>28</v>
      </c>
      <c r="M490" t="str">
        <f t="shared" si="50"/>
        <v>Private Industry</v>
      </c>
      <c r="N490" t="str">
        <f t="shared" si="51"/>
        <v>Small Order</v>
      </c>
      <c r="O490">
        <f t="shared" si="52"/>
        <v>20189.400000000001</v>
      </c>
      <c r="P490">
        <f t="shared" si="53"/>
        <v>20189.400000000001</v>
      </c>
      <c r="Q490" t="b">
        <f t="shared" si="54"/>
        <v>1</v>
      </c>
      <c r="R490">
        <f t="shared" si="55"/>
        <v>20189.400000000001</v>
      </c>
      <c r="S490" s="14">
        <f>_xlfn.XLOOKUP(B490,Summary!$C$10:$C$15,Summary!$B$10:$B$15)</f>
        <v>0.19</v>
      </c>
      <c r="T490">
        <f>IF(AND(H490="Yes",L490&lt;&gt;"Government"),G490*(_xlfn.XLOOKUP(B490,Summary!$C$10:$C$15,Summary!$B$10:$B$15)),0)</f>
        <v>16678.2</v>
      </c>
    </row>
    <row r="491" spans="1:20" x14ac:dyDescent="0.25">
      <c r="A491">
        <v>45905</v>
      </c>
      <c r="B491" t="s">
        <v>27</v>
      </c>
      <c r="C491" t="s">
        <v>36</v>
      </c>
      <c r="D491" s="11">
        <v>1006</v>
      </c>
      <c r="E491">
        <v>120.49</v>
      </c>
      <c r="F491">
        <v>170</v>
      </c>
      <c r="G491">
        <f t="shared" si="49"/>
        <v>171020</v>
      </c>
      <c r="H491" t="s">
        <v>72</v>
      </c>
      <c r="J491" s="9">
        <v>45600</v>
      </c>
      <c r="K491" t="s">
        <v>26</v>
      </c>
      <c r="L491" t="s">
        <v>24</v>
      </c>
      <c r="M491" t="str">
        <f t="shared" si="50"/>
        <v>Public Sector</v>
      </c>
      <c r="N491" t="str">
        <f t="shared" si="51"/>
        <v>Small Order</v>
      </c>
      <c r="O491">
        <f t="shared" si="52"/>
        <v>0</v>
      </c>
      <c r="P491">
        <f t="shared" si="53"/>
        <v>0</v>
      </c>
      <c r="Q491" t="b">
        <f t="shared" si="54"/>
        <v>0</v>
      </c>
      <c r="R491">
        <f t="shared" si="55"/>
        <v>0</v>
      </c>
      <c r="S491" s="14">
        <f>_xlfn.XLOOKUP(B491,Summary!$C$10:$C$15,Summary!$B$10:$B$15)</f>
        <v>0.19</v>
      </c>
      <c r="T491">
        <f>IF(AND(H491="Yes",L491&lt;&gt;"Government"),G491*(_xlfn.XLOOKUP(B491,Summary!$C$10:$C$15,Summary!$B$10:$B$15)),0)</f>
        <v>0</v>
      </c>
    </row>
    <row r="492" spans="1:20" x14ac:dyDescent="0.25">
      <c r="A492">
        <v>78717</v>
      </c>
      <c r="B492" t="s">
        <v>43</v>
      </c>
      <c r="C492" t="s">
        <v>36</v>
      </c>
      <c r="D492" s="11">
        <v>1596</v>
      </c>
      <c r="E492">
        <v>120.89</v>
      </c>
      <c r="F492">
        <v>140</v>
      </c>
      <c r="G492">
        <f t="shared" si="49"/>
        <v>223440</v>
      </c>
      <c r="H492" t="s">
        <v>71</v>
      </c>
      <c r="J492" s="9">
        <v>45603</v>
      </c>
      <c r="K492" t="s">
        <v>41</v>
      </c>
      <c r="L492" t="s">
        <v>33</v>
      </c>
      <c r="M492" t="str">
        <f t="shared" si="50"/>
        <v>Private Industry</v>
      </c>
      <c r="N492" t="str">
        <f t="shared" si="51"/>
        <v>Large Order</v>
      </c>
      <c r="O492">
        <f t="shared" si="52"/>
        <v>51391.200000000004</v>
      </c>
      <c r="P492">
        <f t="shared" si="53"/>
        <v>51391.200000000004</v>
      </c>
      <c r="Q492" t="b">
        <f t="shared" si="54"/>
        <v>1</v>
      </c>
      <c r="R492">
        <f t="shared" si="55"/>
        <v>51391.200000000004</v>
      </c>
      <c r="S492" s="14">
        <f>_xlfn.XLOOKUP(B492,Summary!$C$10:$C$15,Summary!$B$10:$B$15)</f>
        <v>0.21</v>
      </c>
      <c r="T492">
        <f>IF(AND(H492="Yes",L492&lt;&gt;"Government"),G492*(_xlfn.XLOOKUP(B492,Summary!$C$10:$C$15,Summary!$B$10:$B$15)),0)</f>
        <v>46922.400000000001</v>
      </c>
    </row>
    <row r="493" spans="1:20" x14ac:dyDescent="0.25">
      <c r="A493">
        <v>69609</v>
      </c>
      <c r="B493" t="s">
        <v>27</v>
      </c>
      <c r="C493" t="s">
        <v>36</v>
      </c>
      <c r="D493" s="11">
        <v>1395</v>
      </c>
      <c r="E493">
        <v>120.18</v>
      </c>
      <c r="F493">
        <v>145</v>
      </c>
      <c r="G493">
        <f t="shared" si="49"/>
        <v>202275</v>
      </c>
      <c r="H493" t="s">
        <v>71</v>
      </c>
      <c r="J493" s="9">
        <v>45700</v>
      </c>
      <c r="K493" t="s">
        <v>41</v>
      </c>
      <c r="L493" t="s">
        <v>24</v>
      </c>
      <c r="M493" t="str">
        <f t="shared" si="50"/>
        <v>Public Sector</v>
      </c>
      <c r="N493" t="str">
        <f t="shared" si="51"/>
        <v>Small Order</v>
      </c>
      <c r="O493">
        <f t="shared" si="52"/>
        <v>46523.25</v>
      </c>
      <c r="P493">
        <f t="shared" si="53"/>
        <v>0</v>
      </c>
      <c r="Q493" t="b">
        <f t="shared" si="54"/>
        <v>0</v>
      </c>
      <c r="R493">
        <f t="shared" si="55"/>
        <v>0</v>
      </c>
      <c r="S493" s="14">
        <f>_xlfn.XLOOKUP(B493,Summary!$C$10:$C$15,Summary!$B$10:$B$15)</f>
        <v>0.19</v>
      </c>
      <c r="T493">
        <f>IF(AND(H493="Yes",L493&lt;&gt;"Government"),G493*(_xlfn.XLOOKUP(B493,Summary!$C$10:$C$15,Summary!$B$10:$B$15)),0)</f>
        <v>0</v>
      </c>
    </row>
    <row r="494" spans="1:20" x14ac:dyDescent="0.25">
      <c r="A494">
        <v>17182</v>
      </c>
      <c r="B494" t="s">
        <v>27</v>
      </c>
      <c r="C494" t="s">
        <v>36</v>
      </c>
      <c r="D494" s="11">
        <v>807</v>
      </c>
      <c r="E494">
        <v>120.77</v>
      </c>
      <c r="F494">
        <v>142</v>
      </c>
      <c r="G494">
        <f t="shared" si="49"/>
        <v>114594</v>
      </c>
      <c r="H494" t="s">
        <v>71</v>
      </c>
      <c r="J494" s="9">
        <v>45487</v>
      </c>
      <c r="K494" t="s">
        <v>40</v>
      </c>
      <c r="L494" t="s">
        <v>33</v>
      </c>
      <c r="M494" t="str">
        <f t="shared" si="50"/>
        <v>Private Industry</v>
      </c>
      <c r="N494" t="str">
        <f t="shared" si="51"/>
        <v>Small Order</v>
      </c>
      <c r="O494">
        <f t="shared" si="52"/>
        <v>26356.620000000003</v>
      </c>
      <c r="P494">
        <f t="shared" si="53"/>
        <v>26356.620000000003</v>
      </c>
      <c r="Q494" t="b">
        <f t="shared" si="54"/>
        <v>1</v>
      </c>
      <c r="R494">
        <f t="shared" si="55"/>
        <v>26356.620000000003</v>
      </c>
      <c r="S494" s="14">
        <f>_xlfn.XLOOKUP(B494,Summary!$C$10:$C$15,Summary!$B$10:$B$15)</f>
        <v>0.19</v>
      </c>
      <c r="T494">
        <f>IF(AND(H494="Yes",L494&lt;&gt;"Government"),G494*(_xlfn.XLOOKUP(B494,Summary!$C$10:$C$15,Summary!$B$10:$B$15)),0)</f>
        <v>21772.86</v>
      </c>
    </row>
    <row r="495" spans="1:20" x14ac:dyDescent="0.25">
      <c r="A495">
        <v>14891</v>
      </c>
      <c r="B495" t="s">
        <v>42</v>
      </c>
      <c r="C495" t="s">
        <v>35</v>
      </c>
      <c r="D495" s="11">
        <v>1122</v>
      </c>
      <c r="E495">
        <v>10.09</v>
      </c>
      <c r="F495">
        <v>12</v>
      </c>
      <c r="G495">
        <f t="shared" si="49"/>
        <v>13464</v>
      </c>
      <c r="H495" t="s">
        <v>72</v>
      </c>
      <c r="J495" s="9">
        <v>45560</v>
      </c>
      <c r="K495" t="s">
        <v>41</v>
      </c>
      <c r="L495" t="s">
        <v>24</v>
      </c>
      <c r="M495" t="str">
        <f t="shared" si="50"/>
        <v>Public Sector</v>
      </c>
      <c r="N495" t="str">
        <f t="shared" si="51"/>
        <v>Small Order</v>
      </c>
      <c r="O495">
        <f t="shared" si="52"/>
        <v>0</v>
      </c>
      <c r="P495">
        <f t="shared" si="53"/>
        <v>0</v>
      </c>
      <c r="Q495" t="b">
        <f t="shared" si="54"/>
        <v>0</v>
      </c>
      <c r="R495">
        <f t="shared" si="55"/>
        <v>0</v>
      </c>
      <c r="S495" s="14">
        <f>_xlfn.XLOOKUP(B495,Summary!$C$10:$C$15,Summary!$B$10:$B$15)</f>
        <v>0.24</v>
      </c>
      <c r="T495">
        <f>IF(AND(H495="Yes",L495&lt;&gt;"Government"),G495*(_xlfn.XLOOKUP(B495,Summary!$C$10:$C$15,Summary!$B$10:$B$15)),0)</f>
        <v>0</v>
      </c>
    </row>
    <row r="496" spans="1:20" x14ac:dyDescent="0.25">
      <c r="A496">
        <v>96788</v>
      </c>
      <c r="B496" t="s">
        <v>29</v>
      </c>
      <c r="C496" t="s">
        <v>36</v>
      </c>
      <c r="D496" s="11">
        <v>386</v>
      </c>
      <c r="E496">
        <v>120.64</v>
      </c>
      <c r="F496">
        <v>172</v>
      </c>
      <c r="G496">
        <f t="shared" si="49"/>
        <v>66392</v>
      </c>
      <c r="H496" t="s">
        <v>72</v>
      </c>
      <c r="J496" s="9">
        <v>45604</v>
      </c>
      <c r="K496" t="s">
        <v>40</v>
      </c>
      <c r="L496" t="s">
        <v>34</v>
      </c>
      <c r="M496" t="str">
        <f t="shared" si="50"/>
        <v>Private Industry</v>
      </c>
      <c r="N496" t="str">
        <f t="shared" si="51"/>
        <v>Small Order</v>
      </c>
      <c r="O496">
        <f t="shared" si="52"/>
        <v>0</v>
      </c>
      <c r="P496">
        <f t="shared" si="53"/>
        <v>0</v>
      </c>
      <c r="Q496" t="b">
        <f t="shared" si="54"/>
        <v>0</v>
      </c>
      <c r="R496">
        <f t="shared" si="55"/>
        <v>0</v>
      </c>
      <c r="S496" s="14">
        <f>_xlfn.XLOOKUP(B496,Summary!$C$10:$C$15,Summary!$B$10:$B$15)</f>
        <v>0.22</v>
      </c>
      <c r="T496">
        <f>IF(AND(H496="Yes",L496&lt;&gt;"Government"),G496*(_xlfn.XLOOKUP(B496,Summary!$C$10:$C$15,Summary!$B$10:$B$15)),0)</f>
        <v>0</v>
      </c>
    </row>
    <row r="497" spans="1:20" x14ac:dyDescent="0.25">
      <c r="A497">
        <v>97139</v>
      </c>
      <c r="B497" t="s">
        <v>43</v>
      </c>
      <c r="C497" t="s">
        <v>36</v>
      </c>
      <c r="D497" s="11">
        <v>1372</v>
      </c>
      <c r="E497">
        <v>120.58</v>
      </c>
      <c r="F497">
        <v>168</v>
      </c>
      <c r="G497">
        <f t="shared" si="49"/>
        <v>230496</v>
      </c>
      <c r="H497" t="s">
        <v>71</v>
      </c>
      <c r="J497" s="9">
        <v>45676</v>
      </c>
      <c r="K497" t="s">
        <v>40</v>
      </c>
      <c r="L497" t="s">
        <v>34</v>
      </c>
      <c r="M497" t="str">
        <f t="shared" si="50"/>
        <v>Private Industry</v>
      </c>
      <c r="N497" t="str">
        <f t="shared" si="51"/>
        <v>Small Order</v>
      </c>
      <c r="O497">
        <f t="shared" si="52"/>
        <v>53014.080000000002</v>
      </c>
      <c r="P497">
        <f t="shared" si="53"/>
        <v>53014.080000000002</v>
      </c>
      <c r="Q497" t="b">
        <f t="shared" si="54"/>
        <v>1</v>
      </c>
      <c r="R497">
        <f t="shared" si="55"/>
        <v>53014.080000000002</v>
      </c>
      <c r="S497" s="14">
        <f>_xlfn.XLOOKUP(B497,Summary!$C$10:$C$15,Summary!$B$10:$B$15)</f>
        <v>0.21</v>
      </c>
      <c r="T497">
        <f>IF(AND(H497="Yes",L497&lt;&gt;"Government"),G497*(_xlfn.XLOOKUP(B497,Summary!$C$10:$C$15,Summary!$B$10:$B$15)),0)</f>
        <v>48404.159999999996</v>
      </c>
    </row>
    <row r="498" spans="1:20" x14ac:dyDescent="0.25">
      <c r="A498">
        <v>12216</v>
      </c>
      <c r="B498" t="s">
        <v>42</v>
      </c>
      <c r="C498" t="s">
        <v>35</v>
      </c>
      <c r="D498" s="11">
        <v>1233</v>
      </c>
      <c r="E498">
        <v>10.45</v>
      </c>
      <c r="F498">
        <v>12</v>
      </c>
      <c r="G498">
        <f t="shared" si="49"/>
        <v>14796</v>
      </c>
      <c r="H498" t="s">
        <v>71</v>
      </c>
      <c r="J498" s="9">
        <v>45431</v>
      </c>
      <c r="K498" t="s">
        <v>41</v>
      </c>
      <c r="L498" t="s">
        <v>24</v>
      </c>
      <c r="M498" t="str">
        <f t="shared" si="50"/>
        <v>Public Sector</v>
      </c>
      <c r="N498" t="str">
        <f t="shared" si="51"/>
        <v>Small Order</v>
      </c>
      <c r="O498">
        <f t="shared" si="52"/>
        <v>3403.08</v>
      </c>
      <c r="P498">
        <f t="shared" si="53"/>
        <v>0</v>
      </c>
      <c r="Q498" t="b">
        <f t="shared" si="54"/>
        <v>0</v>
      </c>
      <c r="R498">
        <f t="shared" si="55"/>
        <v>0</v>
      </c>
      <c r="S498" s="14">
        <f>_xlfn.XLOOKUP(B498,Summary!$C$10:$C$15,Summary!$B$10:$B$15)</f>
        <v>0.24</v>
      </c>
      <c r="T498">
        <f>IF(AND(H498="Yes",L498&lt;&gt;"Government"),G498*(_xlfn.XLOOKUP(B498,Summary!$C$10:$C$15,Summary!$B$10:$B$15)),0)</f>
        <v>0</v>
      </c>
    </row>
    <row r="499" spans="1:20" x14ac:dyDescent="0.25">
      <c r="A499">
        <v>37745</v>
      </c>
      <c r="B499" t="s">
        <v>43</v>
      </c>
      <c r="C499" t="s">
        <v>25</v>
      </c>
      <c r="D499" s="11">
        <v>263</v>
      </c>
      <c r="E499">
        <v>3.29</v>
      </c>
      <c r="F499">
        <v>5</v>
      </c>
      <c r="G499">
        <f t="shared" si="49"/>
        <v>1315</v>
      </c>
      <c r="H499" t="s">
        <v>71</v>
      </c>
      <c r="J499" s="9">
        <v>45484</v>
      </c>
      <c r="K499" t="s">
        <v>40</v>
      </c>
      <c r="L499" t="s">
        <v>24</v>
      </c>
      <c r="M499" t="str">
        <f t="shared" si="50"/>
        <v>Public Sector</v>
      </c>
      <c r="N499" t="str">
        <f t="shared" si="51"/>
        <v>Small Order</v>
      </c>
      <c r="O499">
        <f t="shared" si="52"/>
        <v>302.45</v>
      </c>
      <c r="P499">
        <f t="shared" si="53"/>
        <v>0</v>
      </c>
      <c r="Q499" t="b">
        <f t="shared" si="54"/>
        <v>0</v>
      </c>
      <c r="R499">
        <f t="shared" si="55"/>
        <v>0</v>
      </c>
      <c r="S499" s="14">
        <f>_xlfn.XLOOKUP(B499,Summary!$C$10:$C$15,Summary!$B$10:$B$15)</f>
        <v>0.21</v>
      </c>
      <c r="T499">
        <f>IF(AND(H499="Yes",L499&lt;&gt;"Government"),G499*(_xlfn.XLOOKUP(B499,Summary!$C$10:$C$15,Summary!$B$10:$B$15)),0)</f>
        <v>0</v>
      </c>
    </row>
    <row r="500" spans="1:20" x14ac:dyDescent="0.25">
      <c r="A500">
        <v>50027</v>
      </c>
      <c r="B500" t="s">
        <v>43</v>
      </c>
      <c r="C500" t="s">
        <v>36</v>
      </c>
      <c r="D500" s="11">
        <v>555</v>
      </c>
      <c r="E500">
        <v>120.81</v>
      </c>
      <c r="F500">
        <v>144</v>
      </c>
      <c r="G500">
        <f t="shared" si="49"/>
        <v>79920</v>
      </c>
      <c r="H500" t="s">
        <v>72</v>
      </c>
      <c r="J500" s="9">
        <v>45537</v>
      </c>
      <c r="K500" t="s">
        <v>40</v>
      </c>
      <c r="L500" t="s">
        <v>28</v>
      </c>
      <c r="M500" t="str">
        <f t="shared" si="50"/>
        <v>Private Industry</v>
      </c>
      <c r="N500" t="str">
        <f t="shared" si="51"/>
        <v>Small Order</v>
      </c>
      <c r="O500">
        <f t="shared" si="52"/>
        <v>0</v>
      </c>
      <c r="P500">
        <f t="shared" si="53"/>
        <v>0</v>
      </c>
      <c r="Q500" t="b">
        <f t="shared" si="54"/>
        <v>0</v>
      </c>
      <c r="R500">
        <f t="shared" si="55"/>
        <v>0</v>
      </c>
      <c r="S500" s="14">
        <f>_xlfn.XLOOKUP(B500,Summary!$C$10:$C$15,Summary!$B$10:$B$15)</f>
        <v>0.21</v>
      </c>
      <c r="T500">
        <f>IF(AND(H500="Yes",L500&lt;&gt;"Government"),G500*(_xlfn.XLOOKUP(B500,Summary!$C$10:$C$15,Summary!$B$10:$B$15)),0)</f>
        <v>0</v>
      </c>
    </row>
    <row r="501" spans="1:20" x14ac:dyDescent="0.25">
      <c r="A501">
        <v>99492</v>
      </c>
      <c r="B501" t="s">
        <v>44</v>
      </c>
      <c r="C501" t="s">
        <v>35</v>
      </c>
      <c r="D501" s="11">
        <v>1802</v>
      </c>
      <c r="E501">
        <v>10.77</v>
      </c>
      <c r="F501">
        <v>14</v>
      </c>
      <c r="G501">
        <f t="shared" si="49"/>
        <v>25228</v>
      </c>
      <c r="H501" t="s">
        <v>71</v>
      </c>
      <c r="J501" s="9">
        <v>45119</v>
      </c>
      <c r="K501" t="s">
        <v>40</v>
      </c>
      <c r="L501" t="s">
        <v>24</v>
      </c>
      <c r="M501" t="str">
        <f t="shared" si="50"/>
        <v>Public Sector</v>
      </c>
      <c r="N501" t="str">
        <f t="shared" si="51"/>
        <v>Large Order</v>
      </c>
      <c r="O501">
        <f t="shared" si="52"/>
        <v>5802.4400000000005</v>
      </c>
      <c r="P501">
        <f t="shared" si="53"/>
        <v>0</v>
      </c>
      <c r="Q501" t="b">
        <f t="shared" si="54"/>
        <v>0</v>
      </c>
      <c r="R501">
        <f t="shared" si="55"/>
        <v>0</v>
      </c>
      <c r="S501" s="14">
        <f>_xlfn.XLOOKUP(B501,Summary!$C$10:$C$15,Summary!$B$10:$B$15)</f>
        <v>0.2</v>
      </c>
      <c r="T501">
        <f>IF(AND(H501="Yes",L501&lt;&gt;"Government"),G501*(_xlfn.XLOOKUP(B501,Summary!$C$10:$C$15,Summary!$B$10:$B$15)),0)</f>
        <v>0</v>
      </c>
    </row>
    <row r="502" spans="1:20" x14ac:dyDescent="0.25">
      <c r="A502">
        <v>78184</v>
      </c>
      <c r="B502" t="s">
        <v>29</v>
      </c>
      <c r="C502" t="s">
        <v>36</v>
      </c>
      <c r="D502" s="11">
        <v>1221</v>
      </c>
      <c r="E502">
        <v>120.5</v>
      </c>
      <c r="F502">
        <v>156</v>
      </c>
      <c r="G502">
        <f t="shared" si="49"/>
        <v>190476</v>
      </c>
      <c r="H502" t="s">
        <v>71</v>
      </c>
      <c r="J502" s="9">
        <v>45498</v>
      </c>
      <c r="K502" t="s">
        <v>40</v>
      </c>
      <c r="L502" t="s">
        <v>34</v>
      </c>
      <c r="M502" t="str">
        <f t="shared" si="50"/>
        <v>Private Industry</v>
      </c>
      <c r="N502" t="str">
        <f t="shared" si="51"/>
        <v>Small Order</v>
      </c>
      <c r="O502">
        <f t="shared" si="52"/>
        <v>43809.48</v>
      </c>
      <c r="P502">
        <f t="shared" si="53"/>
        <v>43809.48</v>
      </c>
      <c r="Q502" t="b">
        <f t="shared" si="54"/>
        <v>1</v>
      </c>
      <c r="R502">
        <f t="shared" si="55"/>
        <v>43809.48</v>
      </c>
      <c r="S502" s="14">
        <f>_xlfn.XLOOKUP(B502,Summary!$C$10:$C$15,Summary!$B$10:$B$15)</f>
        <v>0.22</v>
      </c>
      <c r="T502">
        <f>IF(AND(H502="Yes",L502&lt;&gt;"Government"),G502*(_xlfn.XLOOKUP(B502,Summary!$C$10:$C$15,Summary!$B$10:$B$15)),0)</f>
        <v>41904.720000000001</v>
      </c>
    </row>
    <row r="503" spans="1:20" x14ac:dyDescent="0.25">
      <c r="A503">
        <v>40522</v>
      </c>
      <c r="B503" t="s">
        <v>32</v>
      </c>
      <c r="C503" t="s">
        <v>37</v>
      </c>
      <c r="D503" s="11">
        <v>570</v>
      </c>
      <c r="E503">
        <v>250.03</v>
      </c>
      <c r="F503">
        <v>331</v>
      </c>
      <c r="G503">
        <f t="shared" si="49"/>
        <v>188670</v>
      </c>
      <c r="H503" t="s">
        <v>71</v>
      </c>
      <c r="J503" s="9">
        <v>45086</v>
      </c>
      <c r="K503" t="s">
        <v>40</v>
      </c>
      <c r="L503" t="s">
        <v>24</v>
      </c>
      <c r="M503" t="str">
        <f t="shared" si="50"/>
        <v>Public Sector</v>
      </c>
      <c r="N503" t="str">
        <f t="shared" si="51"/>
        <v>Small Order</v>
      </c>
      <c r="O503">
        <f t="shared" si="52"/>
        <v>43394.1</v>
      </c>
      <c r="P503">
        <f t="shared" si="53"/>
        <v>0</v>
      </c>
      <c r="Q503" t="b">
        <f t="shared" si="54"/>
        <v>0</v>
      </c>
      <c r="R503">
        <f t="shared" si="55"/>
        <v>0</v>
      </c>
      <c r="S503" s="14">
        <f>_xlfn.XLOOKUP(B503,Summary!$C$10:$C$15,Summary!$B$10:$B$15)</f>
        <v>0.23</v>
      </c>
      <c r="T503">
        <f>IF(AND(H503="Yes",L503&lt;&gt;"Government"),G503*(_xlfn.XLOOKUP(B503,Summary!$C$10:$C$15,Summary!$B$10:$B$15)),0)</f>
        <v>0</v>
      </c>
    </row>
    <row r="504" spans="1:20" x14ac:dyDescent="0.25">
      <c r="A504">
        <v>12740</v>
      </c>
      <c r="B504" t="s">
        <v>44</v>
      </c>
      <c r="C504" t="s">
        <v>30</v>
      </c>
      <c r="D504" s="11">
        <v>2851</v>
      </c>
      <c r="E504">
        <v>5.65</v>
      </c>
      <c r="F504">
        <v>7</v>
      </c>
      <c r="G504">
        <f t="shared" si="49"/>
        <v>19957</v>
      </c>
      <c r="H504" t="s">
        <v>71</v>
      </c>
      <c r="J504" s="9">
        <v>45249</v>
      </c>
      <c r="K504" t="s">
        <v>39</v>
      </c>
      <c r="L504" t="s">
        <v>24</v>
      </c>
      <c r="M504" t="str">
        <f t="shared" si="50"/>
        <v>Public Sector</v>
      </c>
      <c r="N504" t="str">
        <f t="shared" si="51"/>
        <v>Large Order</v>
      </c>
      <c r="O504">
        <f t="shared" si="52"/>
        <v>4590.1100000000006</v>
      </c>
      <c r="P504">
        <f t="shared" si="53"/>
        <v>0</v>
      </c>
      <c r="Q504" t="b">
        <f t="shared" si="54"/>
        <v>0</v>
      </c>
      <c r="R504">
        <f t="shared" si="55"/>
        <v>0</v>
      </c>
      <c r="S504" s="14">
        <f>_xlfn.XLOOKUP(B504,Summary!$C$10:$C$15,Summary!$B$10:$B$15)</f>
        <v>0.2</v>
      </c>
      <c r="T504">
        <f>IF(AND(H504="Yes",L504&lt;&gt;"Government"),G504*(_xlfn.XLOOKUP(B504,Summary!$C$10:$C$15,Summary!$B$10:$B$15)),0)</f>
        <v>0</v>
      </c>
    </row>
    <row r="505" spans="1:20" x14ac:dyDescent="0.25">
      <c r="A505">
        <v>78939</v>
      </c>
      <c r="B505" t="s">
        <v>27</v>
      </c>
      <c r="C505" t="s">
        <v>35</v>
      </c>
      <c r="D505" s="11">
        <v>1123</v>
      </c>
      <c r="E505">
        <v>10.08</v>
      </c>
      <c r="F505">
        <v>11</v>
      </c>
      <c r="G505">
        <f t="shared" si="49"/>
        <v>12353</v>
      </c>
      <c r="H505" t="s">
        <v>71</v>
      </c>
      <c r="J505" s="9">
        <v>45581</v>
      </c>
      <c r="K505" t="s">
        <v>40</v>
      </c>
      <c r="L505" t="s">
        <v>34</v>
      </c>
      <c r="M505" t="str">
        <f t="shared" si="50"/>
        <v>Private Industry</v>
      </c>
      <c r="N505" t="str">
        <f t="shared" si="51"/>
        <v>Small Order</v>
      </c>
      <c r="O505">
        <f t="shared" si="52"/>
        <v>2841.19</v>
      </c>
      <c r="P505">
        <f t="shared" si="53"/>
        <v>2841.19</v>
      </c>
      <c r="Q505" t="b">
        <f t="shared" si="54"/>
        <v>1</v>
      </c>
      <c r="R505">
        <f t="shared" si="55"/>
        <v>2841.19</v>
      </c>
      <c r="S505" s="14">
        <f>_xlfn.XLOOKUP(B505,Summary!$C$10:$C$15,Summary!$B$10:$B$15)</f>
        <v>0.19</v>
      </c>
      <c r="T505">
        <f>IF(AND(H505="Yes",L505&lt;&gt;"Government"),G505*(_xlfn.XLOOKUP(B505,Summary!$C$10:$C$15,Summary!$B$10:$B$15)),0)</f>
        <v>2347.0700000000002</v>
      </c>
    </row>
    <row r="506" spans="1:20" x14ac:dyDescent="0.25">
      <c r="A506">
        <v>68163</v>
      </c>
      <c r="B506" t="s">
        <v>44</v>
      </c>
      <c r="C506" t="s">
        <v>35</v>
      </c>
      <c r="D506" s="11">
        <v>1228</v>
      </c>
      <c r="E506">
        <v>10.97</v>
      </c>
      <c r="F506">
        <v>15</v>
      </c>
      <c r="G506">
        <f t="shared" si="49"/>
        <v>18420</v>
      </c>
      <c r="H506" t="s">
        <v>72</v>
      </c>
      <c r="J506" s="9">
        <v>45682</v>
      </c>
      <c r="K506" t="s">
        <v>40</v>
      </c>
      <c r="L506" t="s">
        <v>24</v>
      </c>
      <c r="M506" t="str">
        <f t="shared" si="50"/>
        <v>Public Sector</v>
      </c>
      <c r="N506" t="str">
        <f t="shared" si="51"/>
        <v>Small Order</v>
      </c>
      <c r="O506">
        <f t="shared" si="52"/>
        <v>0</v>
      </c>
      <c r="P506">
        <f t="shared" si="53"/>
        <v>0</v>
      </c>
      <c r="Q506" t="b">
        <f t="shared" si="54"/>
        <v>0</v>
      </c>
      <c r="R506">
        <f t="shared" si="55"/>
        <v>0</v>
      </c>
      <c r="S506" s="14">
        <f>_xlfn.XLOOKUP(B506,Summary!$C$10:$C$15,Summary!$B$10:$B$15)</f>
        <v>0.2</v>
      </c>
      <c r="T506">
        <f>IF(AND(H506="Yes",L506&lt;&gt;"Government"),G506*(_xlfn.XLOOKUP(B506,Summary!$C$10:$C$15,Summary!$B$10:$B$15)),0)</f>
        <v>0</v>
      </c>
    </row>
    <row r="507" spans="1:20" x14ac:dyDescent="0.25">
      <c r="A507">
        <v>28314</v>
      </c>
      <c r="B507" t="s">
        <v>43</v>
      </c>
      <c r="C507" t="s">
        <v>37</v>
      </c>
      <c r="D507" s="11">
        <v>1806</v>
      </c>
      <c r="E507">
        <v>250.02</v>
      </c>
      <c r="F507">
        <v>273</v>
      </c>
      <c r="G507">
        <f t="shared" si="49"/>
        <v>493038</v>
      </c>
      <c r="H507" t="s">
        <v>71</v>
      </c>
      <c r="J507" s="9">
        <v>45442</v>
      </c>
      <c r="K507" t="s">
        <v>41</v>
      </c>
      <c r="L507" t="s">
        <v>31</v>
      </c>
      <c r="M507" t="str">
        <f t="shared" si="50"/>
        <v>Private Industry</v>
      </c>
      <c r="N507" t="str">
        <f t="shared" si="51"/>
        <v>Large Order</v>
      </c>
      <c r="O507">
        <f t="shared" si="52"/>
        <v>113398.74</v>
      </c>
      <c r="P507">
        <f t="shared" si="53"/>
        <v>113398.74</v>
      </c>
      <c r="Q507" t="b">
        <f t="shared" si="54"/>
        <v>1</v>
      </c>
      <c r="R507">
        <f t="shared" si="55"/>
        <v>113398.74</v>
      </c>
      <c r="S507" s="14">
        <f>_xlfn.XLOOKUP(B507,Summary!$C$10:$C$15,Summary!$B$10:$B$15)</f>
        <v>0.21</v>
      </c>
      <c r="T507">
        <f>IF(AND(H507="Yes",L507&lt;&gt;"Government"),G507*(_xlfn.XLOOKUP(B507,Summary!$C$10:$C$15,Summary!$B$10:$B$15)),0)</f>
        <v>103537.98</v>
      </c>
    </row>
    <row r="508" spans="1:20" x14ac:dyDescent="0.25">
      <c r="A508">
        <v>93666</v>
      </c>
      <c r="B508" t="s">
        <v>42</v>
      </c>
      <c r="C508" t="s">
        <v>35</v>
      </c>
      <c r="D508" s="11">
        <v>883</v>
      </c>
      <c r="E508">
        <v>10.56</v>
      </c>
      <c r="F508">
        <v>14</v>
      </c>
      <c r="G508">
        <f t="shared" si="49"/>
        <v>12362</v>
      </c>
      <c r="H508" t="s">
        <v>72</v>
      </c>
      <c r="J508" s="9">
        <v>45698</v>
      </c>
      <c r="K508" t="s">
        <v>26</v>
      </c>
      <c r="L508" t="s">
        <v>24</v>
      </c>
      <c r="M508" t="str">
        <f t="shared" si="50"/>
        <v>Public Sector</v>
      </c>
      <c r="N508" t="str">
        <f t="shared" si="51"/>
        <v>Small Order</v>
      </c>
      <c r="O508">
        <f t="shared" si="52"/>
        <v>0</v>
      </c>
      <c r="P508">
        <f t="shared" si="53"/>
        <v>0</v>
      </c>
      <c r="Q508" t="b">
        <f t="shared" si="54"/>
        <v>0</v>
      </c>
      <c r="R508">
        <f t="shared" si="55"/>
        <v>0</v>
      </c>
      <c r="S508" s="14">
        <f>_xlfn.XLOOKUP(B508,Summary!$C$10:$C$15,Summary!$B$10:$B$15)</f>
        <v>0.24</v>
      </c>
      <c r="T508">
        <f>IF(AND(H508="Yes",L508&lt;&gt;"Government"),G508*(_xlfn.XLOOKUP(B508,Summary!$C$10:$C$15,Summary!$B$10:$B$15)),0)</f>
        <v>0</v>
      </c>
    </row>
    <row r="509" spans="1:20" x14ac:dyDescent="0.25">
      <c r="A509">
        <v>39769</v>
      </c>
      <c r="B509" t="s">
        <v>42</v>
      </c>
      <c r="C509" t="s">
        <v>30</v>
      </c>
      <c r="D509" s="11">
        <v>1727</v>
      </c>
      <c r="E509">
        <v>5.92</v>
      </c>
      <c r="F509">
        <v>9</v>
      </c>
      <c r="G509">
        <f t="shared" si="49"/>
        <v>15543</v>
      </c>
      <c r="H509" t="s">
        <v>72</v>
      </c>
      <c r="J509" s="9">
        <v>45371</v>
      </c>
      <c r="K509" t="s">
        <v>41</v>
      </c>
      <c r="L509" t="s">
        <v>24</v>
      </c>
      <c r="M509" t="str">
        <f t="shared" si="50"/>
        <v>Public Sector</v>
      </c>
      <c r="N509" t="str">
        <f t="shared" si="51"/>
        <v>Large Order</v>
      </c>
      <c r="O509">
        <f t="shared" si="52"/>
        <v>0</v>
      </c>
      <c r="P509">
        <f t="shared" si="53"/>
        <v>0</v>
      </c>
      <c r="Q509" t="b">
        <f t="shared" si="54"/>
        <v>0</v>
      </c>
      <c r="R509">
        <f t="shared" si="55"/>
        <v>0</v>
      </c>
      <c r="S509" s="14">
        <f>_xlfn.XLOOKUP(B509,Summary!$C$10:$C$15,Summary!$B$10:$B$15)</f>
        <v>0.24</v>
      </c>
      <c r="T509">
        <f>IF(AND(H509="Yes",L509&lt;&gt;"Government"),G509*(_xlfn.XLOOKUP(B509,Summary!$C$10:$C$15,Summary!$B$10:$B$15)),0)</f>
        <v>0</v>
      </c>
    </row>
    <row r="510" spans="1:20" x14ac:dyDescent="0.25">
      <c r="A510">
        <v>87875</v>
      </c>
      <c r="B510" t="s">
        <v>29</v>
      </c>
      <c r="C510" t="s">
        <v>37</v>
      </c>
      <c r="D510" s="11">
        <v>866</v>
      </c>
      <c r="E510">
        <v>250.27</v>
      </c>
      <c r="F510">
        <v>321</v>
      </c>
      <c r="G510">
        <f t="shared" si="49"/>
        <v>277986</v>
      </c>
      <c r="H510" t="s">
        <v>72</v>
      </c>
      <c r="J510" s="9">
        <v>45545</v>
      </c>
      <c r="K510" t="s">
        <v>39</v>
      </c>
      <c r="L510" t="s">
        <v>31</v>
      </c>
      <c r="M510" t="str">
        <f t="shared" si="50"/>
        <v>Private Industry</v>
      </c>
      <c r="N510" t="str">
        <f t="shared" si="51"/>
        <v>Small Order</v>
      </c>
      <c r="O510">
        <f t="shared" si="52"/>
        <v>0</v>
      </c>
      <c r="P510">
        <f t="shared" si="53"/>
        <v>0</v>
      </c>
      <c r="Q510" t="b">
        <f t="shared" si="54"/>
        <v>0</v>
      </c>
      <c r="R510">
        <f t="shared" si="55"/>
        <v>0</v>
      </c>
      <c r="S510" s="14">
        <f>_xlfn.XLOOKUP(B510,Summary!$C$10:$C$15,Summary!$B$10:$B$15)</f>
        <v>0.22</v>
      </c>
      <c r="T510">
        <f>IF(AND(H510="Yes",L510&lt;&gt;"Government"),G510*(_xlfn.XLOOKUP(B510,Summary!$C$10:$C$15,Summary!$B$10:$B$15)),0)</f>
        <v>0</v>
      </c>
    </row>
    <row r="511" spans="1:20" x14ac:dyDescent="0.25">
      <c r="A511">
        <v>43457</v>
      </c>
      <c r="B511" t="s">
        <v>29</v>
      </c>
      <c r="C511" t="s">
        <v>35</v>
      </c>
      <c r="D511" s="11">
        <v>1324</v>
      </c>
      <c r="E511">
        <v>10.64</v>
      </c>
      <c r="F511">
        <v>15</v>
      </c>
      <c r="G511">
        <f t="shared" si="49"/>
        <v>19860</v>
      </c>
      <c r="H511" t="s">
        <v>71</v>
      </c>
      <c r="J511" s="9">
        <v>45606</v>
      </c>
      <c r="K511" t="s">
        <v>40</v>
      </c>
      <c r="L511" t="s">
        <v>34</v>
      </c>
      <c r="M511" t="str">
        <f t="shared" si="50"/>
        <v>Private Industry</v>
      </c>
      <c r="N511" t="str">
        <f t="shared" si="51"/>
        <v>Small Order</v>
      </c>
      <c r="O511">
        <f t="shared" si="52"/>
        <v>4567.8</v>
      </c>
      <c r="P511">
        <f t="shared" si="53"/>
        <v>4567.8</v>
      </c>
      <c r="Q511" t="b">
        <f t="shared" si="54"/>
        <v>1</v>
      </c>
      <c r="R511">
        <f t="shared" si="55"/>
        <v>4567.8</v>
      </c>
      <c r="S511" s="14">
        <f>_xlfn.XLOOKUP(B511,Summary!$C$10:$C$15,Summary!$B$10:$B$15)</f>
        <v>0.22</v>
      </c>
      <c r="T511">
        <f>IF(AND(H511="Yes",L511&lt;&gt;"Government"),G511*(_xlfn.XLOOKUP(B511,Summary!$C$10:$C$15,Summary!$B$10:$B$15)),0)</f>
        <v>4369.2</v>
      </c>
    </row>
    <row r="512" spans="1:20" x14ac:dyDescent="0.25">
      <c r="A512">
        <v>71600</v>
      </c>
      <c r="B512" t="s">
        <v>43</v>
      </c>
      <c r="C512" t="s">
        <v>30</v>
      </c>
      <c r="D512" s="11">
        <v>1566</v>
      </c>
      <c r="E512">
        <v>5.24</v>
      </c>
      <c r="F512">
        <v>6</v>
      </c>
      <c r="G512">
        <f t="shared" si="49"/>
        <v>9396</v>
      </c>
      <c r="H512" t="s">
        <v>72</v>
      </c>
      <c r="J512" s="9">
        <v>45200</v>
      </c>
      <c r="K512" t="s">
        <v>39</v>
      </c>
      <c r="L512" t="s">
        <v>24</v>
      </c>
      <c r="M512" t="str">
        <f t="shared" si="50"/>
        <v>Public Sector</v>
      </c>
      <c r="N512" t="str">
        <f t="shared" si="51"/>
        <v>Large Order</v>
      </c>
      <c r="O512">
        <f t="shared" si="52"/>
        <v>0</v>
      </c>
      <c r="P512">
        <f t="shared" si="53"/>
        <v>0</v>
      </c>
      <c r="Q512" t="b">
        <f t="shared" si="54"/>
        <v>0</v>
      </c>
      <c r="R512">
        <f t="shared" si="55"/>
        <v>0</v>
      </c>
      <c r="S512" s="14">
        <f>_xlfn.XLOOKUP(B512,Summary!$C$10:$C$15,Summary!$B$10:$B$15)</f>
        <v>0.21</v>
      </c>
      <c r="T512">
        <f>IF(AND(H512="Yes",L512&lt;&gt;"Government"),G512*(_xlfn.XLOOKUP(B512,Summary!$C$10:$C$15,Summary!$B$10:$B$15)),0)</f>
        <v>0</v>
      </c>
    </row>
    <row r="513" spans="1:20" x14ac:dyDescent="0.25">
      <c r="A513">
        <v>29801</v>
      </c>
      <c r="B513" t="s">
        <v>42</v>
      </c>
      <c r="C513" t="s">
        <v>36</v>
      </c>
      <c r="D513" s="11">
        <v>344</v>
      </c>
      <c r="E513">
        <v>120.49</v>
      </c>
      <c r="F513">
        <v>176</v>
      </c>
      <c r="G513">
        <f t="shared" si="49"/>
        <v>60544</v>
      </c>
      <c r="H513" t="s">
        <v>71</v>
      </c>
      <c r="J513" s="9">
        <v>45646</v>
      </c>
      <c r="K513" t="s">
        <v>41</v>
      </c>
      <c r="L513" t="s">
        <v>24</v>
      </c>
      <c r="M513" t="str">
        <f t="shared" si="50"/>
        <v>Public Sector</v>
      </c>
      <c r="N513" t="str">
        <f t="shared" si="51"/>
        <v>Small Order</v>
      </c>
      <c r="O513">
        <f t="shared" si="52"/>
        <v>13925.12</v>
      </c>
      <c r="P513">
        <f t="shared" si="53"/>
        <v>0</v>
      </c>
      <c r="Q513" t="b">
        <f t="shared" si="54"/>
        <v>0</v>
      </c>
      <c r="R513">
        <f t="shared" si="55"/>
        <v>0</v>
      </c>
      <c r="S513" s="14">
        <f>_xlfn.XLOOKUP(B513,Summary!$C$10:$C$15,Summary!$B$10:$B$15)</f>
        <v>0.24</v>
      </c>
      <c r="T513">
        <f>IF(AND(H513="Yes",L513&lt;&gt;"Government"),G513*(_xlfn.XLOOKUP(B513,Summary!$C$10:$C$15,Summary!$B$10:$B$15)),0)</f>
        <v>0</v>
      </c>
    </row>
    <row r="514" spans="1:20" x14ac:dyDescent="0.25">
      <c r="A514">
        <v>98235</v>
      </c>
      <c r="B514" t="s">
        <v>44</v>
      </c>
      <c r="C514" t="s">
        <v>30</v>
      </c>
      <c r="D514" s="11">
        <v>2665</v>
      </c>
      <c r="E514">
        <v>5.44</v>
      </c>
      <c r="F514">
        <v>8</v>
      </c>
      <c r="G514">
        <f t="shared" si="49"/>
        <v>21320</v>
      </c>
      <c r="H514" t="s">
        <v>71</v>
      </c>
      <c r="J514" s="9">
        <v>45552</v>
      </c>
      <c r="K514" t="s">
        <v>26</v>
      </c>
      <c r="L514" t="s">
        <v>33</v>
      </c>
      <c r="M514" t="str">
        <f t="shared" si="50"/>
        <v>Private Industry</v>
      </c>
      <c r="N514" t="str">
        <f t="shared" si="51"/>
        <v>Large Order</v>
      </c>
      <c r="O514">
        <f t="shared" si="52"/>
        <v>4903.6000000000004</v>
      </c>
      <c r="P514">
        <f t="shared" si="53"/>
        <v>4903.6000000000004</v>
      </c>
      <c r="Q514" t="b">
        <f t="shared" si="54"/>
        <v>1</v>
      </c>
      <c r="R514">
        <f t="shared" si="55"/>
        <v>4903.6000000000004</v>
      </c>
      <c r="S514" s="14">
        <f>_xlfn.XLOOKUP(B514,Summary!$C$10:$C$15,Summary!$B$10:$B$15)</f>
        <v>0.2</v>
      </c>
      <c r="T514">
        <f>IF(AND(H514="Yes",L514&lt;&gt;"Government"),G514*(_xlfn.XLOOKUP(B514,Summary!$C$10:$C$15,Summary!$B$10:$B$15)),0)</f>
        <v>4264</v>
      </c>
    </row>
    <row r="515" spans="1:20" x14ac:dyDescent="0.25">
      <c r="A515">
        <v>50397</v>
      </c>
      <c r="B515" t="s">
        <v>44</v>
      </c>
      <c r="C515" t="s">
        <v>35</v>
      </c>
      <c r="D515" s="11">
        <v>2470</v>
      </c>
      <c r="E515">
        <v>10.37</v>
      </c>
      <c r="F515">
        <v>14</v>
      </c>
      <c r="G515">
        <f t="shared" ref="G515:G578" si="56">D515*F515</f>
        <v>34580</v>
      </c>
      <c r="H515" t="s">
        <v>72</v>
      </c>
      <c r="J515" s="9">
        <v>45556</v>
      </c>
      <c r="K515" t="s">
        <v>41</v>
      </c>
      <c r="L515" t="s">
        <v>28</v>
      </c>
      <c r="M515" t="str">
        <f t="shared" ref="M515:M578" si="57">IF(L515="Government","Public Sector","Private Industry")</f>
        <v>Private Industry</v>
      </c>
      <c r="N515" t="str">
        <f t="shared" ref="N515:N578" si="58">IF(D515&gt;1500,"Large Order","Small Order")</f>
        <v>Large Order</v>
      </c>
      <c r="O515">
        <f t="shared" ref="O515:O578" si="59">IF(H515="Yes",G515*0.23,0)</f>
        <v>0</v>
      </c>
      <c r="P515">
        <f t="shared" ref="P515:P578" si="60">IF(Q515,G515*0.23,0)</f>
        <v>0</v>
      </c>
      <c r="Q515" t="b">
        <f t="shared" ref="Q515:Q578" si="61">AND(H515="Yes",L515&lt;&gt;"Government")</f>
        <v>0</v>
      </c>
      <c r="R515">
        <f t="shared" ref="R515:R578" si="62">IF(AND(H515="Yes",L515&lt;&gt;"Government"),G515*0.23,0)</f>
        <v>0</v>
      </c>
      <c r="S515" s="14">
        <f>_xlfn.XLOOKUP(B515,Summary!$C$10:$C$15,Summary!$B$10:$B$15)</f>
        <v>0.2</v>
      </c>
      <c r="T515">
        <f>IF(AND(H515="Yes",L515&lt;&gt;"Government"),G515*(_xlfn.XLOOKUP(B515,Summary!$C$10:$C$15,Summary!$B$10:$B$15)),0)</f>
        <v>0</v>
      </c>
    </row>
    <row r="516" spans="1:20" x14ac:dyDescent="0.25">
      <c r="A516">
        <v>44845</v>
      </c>
      <c r="B516" t="s">
        <v>44</v>
      </c>
      <c r="C516" t="s">
        <v>38</v>
      </c>
      <c r="D516" s="11">
        <v>2761</v>
      </c>
      <c r="E516">
        <v>260.01</v>
      </c>
      <c r="F516">
        <v>313</v>
      </c>
      <c r="G516">
        <f t="shared" si="56"/>
        <v>864193</v>
      </c>
      <c r="H516" t="s">
        <v>71</v>
      </c>
      <c r="J516" s="9">
        <v>45091</v>
      </c>
      <c r="K516" t="s">
        <v>41</v>
      </c>
      <c r="L516" t="s">
        <v>31</v>
      </c>
      <c r="M516" t="str">
        <f t="shared" si="57"/>
        <v>Private Industry</v>
      </c>
      <c r="N516" t="str">
        <f t="shared" si="58"/>
        <v>Large Order</v>
      </c>
      <c r="O516">
        <f t="shared" si="59"/>
        <v>198764.39</v>
      </c>
      <c r="P516">
        <f t="shared" si="60"/>
        <v>198764.39</v>
      </c>
      <c r="Q516" t="b">
        <f t="shared" si="61"/>
        <v>1</v>
      </c>
      <c r="R516">
        <f t="shared" si="62"/>
        <v>198764.39</v>
      </c>
      <c r="S516" s="14">
        <f>_xlfn.XLOOKUP(B516,Summary!$C$10:$C$15,Summary!$B$10:$B$15)</f>
        <v>0.2</v>
      </c>
      <c r="T516">
        <f>IF(AND(H516="Yes",L516&lt;&gt;"Government"),G516*(_xlfn.XLOOKUP(B516,Summary!$C$10:$C$15,Summary!$B$10:$B$15)),0)</f>
        <v>172838.6</v>
      </c>
    </row>
    <row r="517" spans="1:20" x14ac:dyDescent="0.25">
      <c r="A517">
        <v>52349</v>
      </c>
      <c r="B517" t="s">
        <v>32</v>
      </c>
      <c r="C517" t="s">
        <v>35</v>
      </c>
      <c r="D517" s="11">
        <v>2116</v>
      </c>
      <c r="E517">
        <v>10.9</v>
      </c>
      <c r="F517">
        <v>14</v>
      </c>
      <c r="G517">
        <f t="shared" si="56"/>
        <v>29624</v>
      </c>
      <c r="H517" t="s">
        <v>72</v>
      </c>
      <c r="J517" s="9">
        <v>45599</v>
      </c>
      <c r="K517" t="s">
        <v>40</v>
      </c>
      <c r="L517" t="s">
        <v>28</v>
      </c>
      <c r="M517" t="str">
        <f t="shared" si="57"/>
        <v>Private Industry</v>
      </c>
      <c r="N517" t="str">
        <f t="shared" si="58"/>
        <v>Large Order</v>
      </c>
      <c r="O517">
        <f t="shared" si="59"/>
        <v>0</v>
      </c>
      <c r="P517">
        <f t="shared" si="60"/>
        <v>0</v>
      </c>
      <c r="Q517" t="b">
        <f t="shared" si="61"/>
        <v>0</v>
      </c>
      <c r="R517">
        <f t="shared" si="62"/>
        <v>0</v>
      </c>
      <c r="S517" s="14">
        <f>_xlfn.XLOOKUP(B517,Summary!$C$10:$C$15,Summary!$B$10:$B$15)</f>
        <v>0.23</v>
      </c>
      <c r="T517">
        <f>IF(AND(H517="Yes",L517&lt;&gt;"Government"),G517*(_xlfn.XLOOKUP(B517,Summary!$C$10:$C$15,Summary!$B$10:$B$15)),0)</f>
        <v>0</v>
      </c>
    </row>
    <row r="518" spans="1:20" x14ac:dyDescent="0.25">
      <c r="A518">
        <v>32137</v>
      </c>
      <c r="B518" t="s">
        <v>32</v>
      </c>
      <c r="C518" t="s">
        <v>38</v>
      </c>
      <c r="D518" s="11">
        <v>1403</v>
      </c>
      <c r="E518">
        <v>260.47000000000003</v>
      </c>
      <c r="F518">
        <v>365</v>
      </c>
      <c r="G518">
        <f t="shared" si="56"/>
        <v>512095</v>
      </c>
      <c r="H518" t="s">
        <v>71</v>
      </c>
      <c r="J518" s="9">
        <v>45230</v>
      </c>
      <c r="K518" t="s">
        <v>40</v>
      </c>
      <c r="L518" t="s">
        <v>24</v>
      </c>
      <c r="M518" t="str">
        <f t="shared" si="57"/>
        <v>Public Sector</v>
      </c>
      <c r="N518" t="str">
        <f t="shared" si="58"/>
        <v>Small Order</v>
      </c>
      <c r="O518">
        <f t="shared" si="59"/>
        <v>117781.85</v>
      </c>
      <c r="P518">
        <f t="shared" si="60"/>
        <v>0</v>
      </c>
      <c r="Q518" t="b">
        <f t="shared" si="61"/>
        <v>0</v>
      </c>
      <c r="R518">
        <f t="shared" si="62"/>
        <v>0</v>
      </c>
      <c r="S518" s="14">
        <f>_xlfn.XLOOKUP(B518,Summary!$C$10:$C$15,Summary!$B$10:$B$15)</f>
        <v>0.23</v>
      </c>
      <c r="T518">
        <f>IF(AND(H518="Yes",L518&lt;&gt;"Government"),G518*(_xlfn.XLOOKUP(B518,Summary!$C$10:$C$15,Summary!$B$10:$B$15)),0)</f>
        <v>0</v>
      </c>
    </row>
    <row r="519" spans="1:20" x14ac:dyDescent="0.25">
      <c r="A519">
        <v>69310</v>
      </c>
      <c r="B519" t="s">
        <v>27</v>
      </c>
      <c r="C519" t="s">
        <v>35</v>
      </c>
      <c r="D519" s="11">
        <v>1359</v>
      </c>
      <c r="E519">
        <v>10.039999999999999</v>
      </c>
      <c r="F519">
        <v>14</v>
      </c>
      <c r="G519">
        <f t="shared" si="56"/>
        <v>19026</v>
      </c>
      <c r="H519" t="s">
        <v>71</v>
      </c>
      <c r="J519" s="9">
        <v>45603</v>
      </c>
      <c r="K519" t="s">
        <v>41</v>
      </c>
      <c r="L519" t="s">
        <v>34</v>
      </c>
      <c r="M519" t="str">
        <f t="shared" si="57"/>
        <v>Private Industry</v>
      </c>
      <c r="N519" t="str">
        <f t="shared" si="58"/>
        <v>Small Order</v>
      </c>
      <c r="O519">
        <f t="shared" si="59"/>
        <v>4375.9800000000005</v>
      </c>
      <c r="P519">
        <f t="shared" si="60"/>
        <v>4375.9800000000005</v>
      </c>
      <c r="Q519" t="b">
        <f t="shared" si="61"/>
        <v>1</v>
      </c>
      <c r="R519">
        <f t="shared" si="62"/>
        <v>4375.9800000000005</v>
      </c>
      <c r="S519" s="14">
        <f>_xlfn.XLOOKUP(B519,Summary!$C$10:$C$15,Summary!$B$10:$B$15)</f>
        <v>0.19</v>
      </c>
      <c r="T519">
        <f>IF(AND(H519="Yes",L519&lt;&gt;"Government"),G519*(_xlfn.XLOOKUP(B519,Summary!$C$10:$C$15,Summary!$B$10:$B$15)),0)</f>
        <v>3614.94</v>
      </c>
    </row>
    <row r="520" spans="1:20" x14ac:dyDescent="0.25">
      <c r="A520">
        <v>26113</v>
      </c>
      <c r="B520" t="s">
        <v>44</v>
      </c>
      <c r="C520" t="s">
        <v>35</v>
      </c>
      <c r="D520" s="11">
        <v>1946</v>
      </c>
      <c r="E520">
        <v>10.82</v>
      </c>
      <c r="F520">
        <v>14</v>
      </c>
      <c r="G520">
        <f t="shared" si="56"/>
        <v>27244</v>
      </c>
      <c r="H520" t="s">
        <v>71</v>
      </c>
      <c r="J520" s="9">
        <v>45628</v>
      </c>
      <c r="K520" t="s">
        <v>40</v>
      </c>
      <c r="L520" t="s">
        <v>24</v>
      </c>
      <c r="M520" t="str">
        <f t="shared" si="57"/>
        <v>Public Sector</v>
      </c>
      <c r="N520" t="str">
        <f t="shared" si="58"/>
        <v>Large Order</v>
      </c>
      <c r="O520">
        <f t="shared" si="59"/>
        <v>6266.12</v>
      </c>
      <c r="P520">
        <f t="shared" si="60"/>
        <v>0</v>
      </c>
      <c r="Q520" t="b">
        <f t="shared" si="61"/>
        <v>0</v>
      </c>
      <c r="R520">
        <f t="shared" si="62"/>
        <v>0</v>
      </c>
      <c r="S520" s="14">
        <f>_xlfn.XLOOKUP(B520,Summary!$C$10:$C$15,Summary!$B$10:$B$15)</f>
        <v>0.2</v>
      </c>
      <c r="T520">
        <f>IF(AND(H520="Yes",L520&lt;&gt;"Government"),G520*(_xlfn.XLOOKUP(B520,Summary!$C$10:$C$15,Summary!$B$10:$B$15)),0)</f>
        <v>0</v>
      </c>
    </row>
    <row r="521" spans="1:20" x14ac:dyDescent="0.25">
      <c r="A521">
        <v>42904</v>
      </c>
      <c r="B521" t="s">
        <v>32</v>
      </c>
      <c r="C521" t="s">
        <v>35</v>
      </c>
      <c r="D521" s="11">
        <v>2074</v>
      </c>
      <c r="E521">
        <v>10.9</v>
      </c>
      <c r="F521">
        <v>16</v>
      </c>
      <c r="G521">
        <f t="shared" si="56"/>
        <v>33184</v>
      </c>
      <c r="H521" t="s">
        <v>71</v>
      </c>
      <c r="J521" s="9">
        <v>45634</v>
      </c>
      <c r="K521" t="s">
        <v>39</v>
      </c>
      <c r="L521" t="s">
        <v>24</v>
      </c>
      <c r="M521" t="str">
        <f t="shared" si="57"/>
        <v>Public Sector</v>
      </c>
      <c r="N521" t="str">
        <f t="shared" si="58"/>
        <v>Large Order</v>
      </c>
      <c r="O521">
        <f t="shared" si="59"/>
        <v>7632.3200000000006</v>
      </c>
      <c r="P521">
        <f t="shared" si="60"/>
        <v>0</v>
      </c>
      <c r="Q521" t="b">
        <f t="shared" si="61"/>
        <v>0</v>
      </c>
      <c r="R521">
        <f t="shared" si="62"/>
        <v>0</v>
      </c>
      <c r="S521" s="14">
        <f>_xlfn.XLOOKUP(B521,Summary!$C$10:$C$15,Summary!$B$10:$B$15)</f>
        <v>0.23</v>
      </c>
      <c r="T521">
        <f>IF(AND(H521="Yes",L521&lt;&gt;"Government"),G521*(_xlfn.XLOOKUP(B521,Summary!$C$10:$C$15,Summary!$B$10:$B$15)),0)</f>
        <v>0</v>
      </c>
    </row>
    <row r="522" spans="1:20" x14ac:dyDescent="0.25">
      <c r="A522">
        <v>40800</v>
      </c>
      <c r="B522" t="s">
        <v>42</v>
      </c>
      <c r="C522" t="s">
        <v>35</v>
      </c>
      <c r="D522" s="11">
        <v>1607</v>
      </c>
      <c r="E522">
        <v>10.34</v>
      </c>
      <c r="F522">
        <v>13</v>
      </c>
      <c r="G522">
        <f t="shared" si="56"/>
        <v>20891</v>
      </c>
      <c r="H522" t="s">
        <v>71</v>
      </c>
      <c r="J522" s="9">
        <v>45541</v>
      </c>
      <c r="K522" t="s">
        <v>40</v>
      </c>
      <c r="L522" t="s">
        <v>34</v>
      </c>
      <c r="M522" t="str">
        <f t="shared" si="57"/>
        <v>Private Industry</v>
      </c>
      <c r="N522" t="str">
        <f t="shared" si="58"/>
        <v>Large Order</v>
      </c>
      <c r="O522">
        <f t="shared" si="59"/>
        <v>4804.93</v>
      </c>
      <c r="P522">
        <f t="shared" si="60"/>
        <v>4804.93</v>
      </c>
      <c r="Q522" t="b">
        <f t="shared" si="61"/>
        <v>1</v>
      </c>
      <c r="R522">
        <f t="shared" si="62"/>
        <v>4804.93</v>
      </c>
      <c r="S522" s="14">
        <f>_xlfn.XLOOKUP(B522,Summary!$C$10:$C$15,Summary!$B$10:$B$15)</f>
        <v>0.24</v>
      </c>
      <c r="T522">
        <f>IF(AND(H522="Yes",L522&lt;&gt;"Government"),G522*(_xlfn.XLOOKUP(B522,Summary!$C$10:$C$15,Summary!$B$10:$B$15)),0)</f>
        <v>5013.84</v>
      </c>
    </row>
    <row r="523" spans="1:20" x14ac:dyDescent="0.25">
      <c r="A523">
        <v>15628</v>
      </c>
      <c r="B523" t="s">
        <v>27</v>
      </c>
      <c r="C523" t="s">
        <v>35</v>
      </c>
      <c r="D523" s="11">
        <v>1095</v>
      </c>
      <c r="E523">
        <v>10.34</v>
      </c>
      <c r="F523">
        <v>12</v>
      </c>
      <c r="G523">
        <f t="shared" si="56"/>
        <v>13140</v>
      </c>
      <c r="H523" t="s">
        <v>71</v>
      </c>
      <c r="J523" s="9">
        <v>45418</v>
      </c>
      <c r="K523" t="s">
        <v>40</v>
      </c>
      <c r="L523" t="s">
        <v>24</v>
      </c>
      <c r="M523" t="str">
        <f t="shared" si="57"/>
        <v>Public Sector</v>
      </c>
      <c r="N523" t="str">
        <f t="shared" si="58"/>
        <v>Small Order</v>
      </c>
      <c r="O523">
        <f t="shared" si="59"/>
        <v>3022.2000000000003</v>
      </c>
      <c r="P523">
        <f t="shared" si="60"/>
        <v>0</v>
      </c>
      <c r="Q523" t="b">
        <f t="shared" si="61"/>
        <v>0</v>
      </c>
      <c r="R523">
        <f t="shared" si="62"/>
        <v>0</v>
      </c>
      <c r="S523" s="14">
        <f>_xlfn.XLOOKUP(B523,Summary!$C$10:$C$15,Summary!$B$10:$B$15)</f>
        <v>0.19</v>
      </c>
      <c r="T523">
        <f>IF(AND(H523="Yes",L523&lt;&gt;"Government"),G523*(_xlfn.XLOOKUP(B523,Summary!$C$10:$C$15,Summary!$B$10:$B$15)),0)</f>
        <v>0</v>
      </c>
    </row>
    <row r="524" spans="1:20" x14ac:dyDescent="0.25">
      <c r="A524">
        <v>53330</v>
      </c>
      <c r="B524" t="s">
        <v>42</v>
      </c>
      <c r="C524" t="s">
        <v>30</v>
      </c>
      <c r="D524" s="11">
        <v>604</v>
      </c>
      <c r="E524">
        <v>5.0599999999999996</v>
      </c>
      <c r="F524">
        <v>6</v>
      </c>
      <c r="G524">
        <f t="shared" si="56"/>
        <v>3624</v>
      </c>
      <c r="H524" t="s">
        <v>72</v>
      </c>
      <c r="J524" s="9">
        <v>45455</v>
      </c>
      <c r="K524" t="s">
        <v>41</v>
      </c>
      <c r="L524" t="s">
        <v>31</v>
      </c>
      <c r="M524" t="str">
        <f t="shared" si="57"/>
        <v>Private Industry</v>
      </c>
      <c r="N524" t="str">
        <f t="shared" si="58"/>
        <v>Small Order</v>
      </c>
      <c r="O524">
        <f t="shared" si="59"/>
        <v>0</v>
      </c>
      <c r="P524">
        <f t="shared" si="60"/>
        <v>0</v>
      </c>
      <c r="Q524" t="b">
        <f t="shared" si="61"/>
        <v>0</v>
      </c>
      <c r="R524">
        <f t="shared" si="62"/>
        <v>0</v>
      </c>
      <c r="S524" s="14">
        <f>_xlfn.XLOOKUP(B524,Summary!$C$10:$C$15,Summary!$B$10:$B$15)</f>
        <v>0.24</v>
      </c>
      <c r="T524">
        <f>IF(AND(H524="Yes",L524&lt;&gt;"Government"),G524*(_xlfn.XLOOKUP(B524,Summary!$C$10:$C$15,Summary!$B$10:$B$15)),0)</f>
        <v>0</v>
      </c>
    </row>
    <row r="525" spans="1:20" x14ac:dyDescent="0.25">
      <c r="A525">
        <v>56250</v>
      </c>
      <c r="B525" t="s">
        <v>44</v>
      </c>
      <c r="C525" t="s">
        <v>38</v>
      </c>
      <c r="D525" s="11">
        <v>1118</v>
      </c>
      <c r="E525">
        <v>260.91000000000003</v>
      </c>
      <c r="F525">
        <v>285</v>
      </c>
      <c r="G525">
        <f t="shared" si="56"/>
        <v>318630</v>
      </c>
      <c r="H525" t="s">
        <v>72</v>
      </c>
      <c r="J525" s="9">
        <v>45447</v>
      </c>
      <c r="K525" t="s">
        <v>40</v>
      </c>
      <c r="L525" t="s">
        <v>24</v>
      </c>
      <c r="M525" t="str">
        <f t="shared" si="57"/>
        <v>Public Sector</v>
      </c>
      <c r="N525" t="str">
        <f t="shared" si="58"/>
        <v>Small Order</v>
      </c>
      <c r="O525">
        <f t="shared" si="59"/>
        <v>0</v>
      </c>
      <c r="P525">
        <f t="shared" si="60"/>
        <v>0</v>
      </c>
      <c r="Q525" t="b">
        <f t="shared" si="61"/>
        <v>0</v>
      </c>
      <c r="R525">
        <f t="shared" si="62"/>
        <v>0</v>
      </c>
      <c r="S525" s="14">
        <f>_xlfn.XLOOKUP(B525,Summary!$C$10:$C$15,Summary!$B$10:$B$15)</f>
        <v>0.2</v>
      </c>
      <c r="T525">
        <f>IF(AND(H525="Yes",L525&lt;&gt;"Government"),G525*(_xlfn.XLOOKUP(B525,Summary!$C$10:$C$15,Summary!$B$10:$B$15)),0)</f>
        <v>0</v>
      </c>
    </row>
    <row r="526" spans="1:20" x14ac:dyDescent="0.25">
      <c r="A526">
        <v>92116</v>
      </c>
      <c r="B526" t="s">
        <v>43</v>
      </c>
      <c r="C526" t="s">
        <v>35</v>
      </c>
      <c r="D526" s="11">
        <v>671</v>
      </c>
      <c r="E526">
        <v>10.24</v>
      </c>
      <c r="F526">
        <v>13</v>
      </c>
      <c r="G526">
        <f t="shared" si="56"/>
        <v>8723</v>
      </c>
      <c r="H526" t="s">
        <v>72</v>
      </c>
      <c r="J526" s="9">
        <v>45578</v>
      </c>
      <c r="K526" t="s">
        <v>39</v>
      </c>
      <c r="L526" t="s">
        <v>28</v>
      </c>
      <c r="M526" t="str">
        <f t="shared" si="57"/>
        <v>Private Industry</v>
      </c>
      <c r="N526" t="str">
        <f t="shared" si="58"/>
        <v>Small Order</v>
      </c>
      <c r="O526">
        <f t="shared" si="59"/>
        <v>0</v>
      </c>
      <c r="P526">
        <f t="shared" si="60"/>
        <v>0</v>
      </c>
      <c r="Q526" t="b">
        <f t="shared" si="61"/>
        <v>0</v>
      </c>
      <c r="R526">
        <f t="shared" si="62"/>
        <v>0</v>
      </c>
      <c r="S526" s="14">
        <f>_xlfn.XLOOKUP(B526,Summary!$C$10:$C$15,Summary!$B$10:$B$15)</f>
        <v>0.21</v>
      </c>
      <c r="T526">
        <f>IF(AND(H526="Yes",L526&lt;&gt;"Government"),G526*(_xlfn.XLOOKUP(B526,Summary!$C$10:$C$15,Summary!$B$10:$B$15)),0)</f>
        <v>0</v>
      </c>
    </row>
    <row r="527" spans="1:20" x14ac:dyDescent="0.25">
      <c r="A527">
        <v>93396</v>
      </c>
      <c r="B527" t="s">
        <v>32</v>
      </c>
      <c r="C527" t="s">
        <v>35</v>
      </c>
      <c r="D527" s="11">
        <v>1925</v>
      </c>
      <c r="E527">
        <v>10.71</v>
      </c>
      <c r="F527">
        <v>16</v>
      </c>
      <c r="G527">
        <f t="shared" si="56"/>
        <v>30800</v>
      </c>
      <c r="H527" t="s">
        <v>71</v>
      </c>
      <c r="J527" s="9">
        <v>45374</v>
      </c>
      <c r="K527" t="s">
        <v>39</v>
      </c>
      <c r="L527" t="s">
        <v>28</v>
      </c>
      <c r="M527" t="str">
        <f t="shared" si="57"/>
        <v>Private Industry</v>
      </c>
      <c r="N527" t="str">
        <f t="shared" si="58"/>
        <v>Large Order</v>
      </c>
      <c r="O527">
        <f t="shared" si="59"/>
        <v>7084</v>
      </c>
      <c r="P527">
        <f t="shared" si="60"/>
        <v>7084</v>
      </c>
      <c r="Q527" t="b">
        <f t="shared" si="61"/>
        <v>1</v>
      </c>
      <c r="R527">
        <f t="shared" si="62"/>
        <v>7084</v>
      </c>
      <c r="S527" s="14">
        <f>_xlfn.XLOOKUP(B527,Summary!$C$10:$C$15,Summary!$B$10:$B$15)</f>
        <v>0.23</v>
      </c>
      <c r="T527">
        <f>IF(AND(H527="Yes",L527&lt;&gt;"Government"),G527*(_xlfn.XLOOKUP(B527,Summary!$C$10:$C$15,Summary!$B$10:$B$15)),0)</f>
        <v>7084</v>
      </c>
    </row>
    <row r="528" spans="1:20" x14ac:dyDescent="0.25">
      <c r="A528">
        <v>94140</v>
      </c>
      <c r="B528" t="s">
        <v>44</v>
      </c>
      <c r="C528" t="s">
        <v>35</v>
      </c>
      <c r="D528" s="11">
        <v>1817</v>
      </c>
      <c r="E528">
        <v>10.96</v>
      </c>
      <c r="F528">
        <v>14</v>
      </c>
      <c r="G528">
        <f t="shared" si="56"/>
        <v>25438</v>
      </c>
      <c r="H528" t="s">
        <v>71</v>
      </c>
      <c r="J528" s="9">
        <v>45211</v>
      </c>
      <c r="K528" t="s">
        <v>26</v>
      </c>
      <c r="L528" t="s">
        <v>24</v>
      </c>
      <c r="M528" t="str">
        <f t="shared" si="57"/>
        <v>Public Sector</v>
      </c>
      <c r="N528" t="str">
        <f t="shared" si="58"/>
        <v>Large Order</v>
      </c>
      <c r="O528">
        <f t="shared" si="59"/>
        <v>5850.7400000000007</v>
      </c>
      <c r="P528">
        <f t="shared" si="60"/>
        <v>0</v>
      </c>
      <c r="Q528" t="b">
        <f t="shared" si="61"/>
        <v>0</v>
      </c>
      <c r="R528">
        <f t="shared" si="62"/>
        <v>0</v>
      </c>
      <c r="S528" s="14">
        <f>_xlfn.XLOOKUP(B528,Summary!$C$10:$C$15,Summary!$B$10:$B$15)</f>
        <v>0.2</v>
      </c>
      <c r="T528">
        <f>IF(AND(H528="Yes",L528&lt;&gt;"Government"),G528*(_xlfn.XLOOKUP(B528,Summary!$C$10:$C$15,Summary!$B$10:$B$15)),0)</f>
        <v>0</v>
      </c>
    </row>
    <row r="529" spans="1:20" x14ac:dyDescent="0.25">
      <c r="A529">
        <v>96239</v>
      </c>
      <c r="B529" t="s">
        <v>42</v>
      </c>
      <c r="C529" t="s">
        <v>36</v>
      </c>
      <c r="D529" s="11">
        <v>1575</v>
      </c>
      <c r="E529">
        <v>120.43</v>
      </c>
      <c r="F529">
        <v>164</v>
      </c>
      <c r="G529">
        <f t="shared" si="56"/>
        <v>258300</v>
      </c>
      <c r="H529" t="s">
        <v>72</v>
      </c>
      <c r="J529" s="9">
        <v>45177</v>
      </c>
      <c r="K529" t="s">
        <v>41</v>
      </c>
      <c r="L529" t="s">
        <v>33</v>
      </c>
      <c r="M529" t="str">
        <f t="shared" si="57"/>
        <v>Private Industry</v>
      </c>
      <c r="N529" t="str">
        <f t="shared" si="58"/>
        <v>Large Order</v>
      </c>
      <c r="O529">
        <f t="shared" si="59"/>
        <v>0</v>
      </c>
      <c r="P529">
        <f t="shared" si="60"/>
        <v>0</v>
      </c>
      <c r="Q529" t="b">
        <f t="shared" si="61"/>
        <v>0</v>
      </c>
      <c r="R529">
        <f t="shared" si="62"/>
        <v>0</v>
      </c>
      <c r="S529" s="14">
        <f>_xlfn.XLOOKUP(B529,Summary!$C$10:$C$15,Summary!$B$10:$B$15)</f>
        <v>0.24</v>
      </c>
      <c r="T529">
        <f>IF(AND(H529="Yes",L529&lt;&gt;"Government"),G529*(_xlfn.XLOOKUP(B529,Summary!$C$10:$C$15,Summary!$B$10:$B$15)),0)</f>
        <v>0</v>
      </c>
    </row>
    <row r="530" spans="1:20" x14ac:dyDescent="0.25">
      <c r="A530">
        <v>64154</v>
      </c>
      <c r="B530" t="s">
        <v>42</v>
      </c>
      <c r="C530" t="s">
        <v>30</v>
      </c>
      <c r="D530" s="11">
        <v>2470</v>
      </c>
      <c r="E530">
        <v>5.31</v>
      </c>
      <c r="F530">
        <v>7</v>
      </c>
      <c r="G530">
        <f t="shared" si="56"/>
        <v>17290</v>
      </c>
      <c r="H530" t="s">
        <v>72</v>
      </c>
      <c r="J530" s="9">
        <v>45127</v>
      </c>
      <c r="K530" t="s">
        <v>26</v>
      </c>
      <c r="L530" t="s">
        <v>28</v>
      </c>
      <c r="M530" t="str">
        <f t="shared" si="57"/>
        <v>Private Industry</v>
      </c>
      <c r="N530" t="str">
        <f t="shared" si="58"/>
        <v>Large Order</v>
      </c>
      <c r="O530">
        <f t="shared" si="59"/>
        <v>0</v>
      </c>
      <c r="P530">
        <f t="shared" si="60"/>
        <v>0</v>
      </c>
      <c r="Q530" t="b">
        <f t="shared" si="61"/>
        <v>0</v>
      </c>
      <c r="R530">
        <f t="shared" si="62"/>
        <v>0</v>
      </c>
      <c r="S530" s="14">
        <f>_xlfn.XLOOKUP(B530,Summary!$C$10:$C$15,Summary!$B$10:$B$15)</f>
        <v>0.24</v>
      </c>
      <c r="T530">
        <f>IF(AND(H530="Yes",L530&lt;&gt;"Government"),G530*(_xlfn.XLOOKUP(B530,Summary!$C$10:$C$15,Summary!$B$10:$B$15)),0)</f>
        <v>0</v>
      </c>
    </row>
    <row r="531" spans="1:20" x14ac:dyDescent="0.25">
      <c r="A531">
        <v>11450</v>
      </c>
      <c r="B531" t="s">
        <v>29</v>
      </c>
      <c r="C531" t="s">
        <v>38</v>
      </c>
      <c r="D531" s="11">
        <v>941</v>
      </c>
      <c r="E531">
        <v>260.77999999999997</v>
      </c>
      <c r="F531">
        <v>347</v>
      </c>
      <c r="G531">
        <f t="shared" si="56"/>
        <v>326527</v>
      </c>
      <c r="H531" t="s">
        <v>71</v>
      </c>
      <c r="J531" s="9">
        <v>45520</v>
      </c>
      <c r="K531" t="s">
        <v>39</v>
      </c>
      <c r="L531" t="s">
        <v>24</v>
      </c>
      <c r="M531" t="str">
        <f t="shared" si="57"/>
        <v>Public Sector</v>
      </c>
      <c r="N531" t="str">
        <f t="shared" si="58"/>
        <v>Small Order</v>
      </c>
      <c r="O531">
        <f t="shared" si="59"/>
        <v>75101.210000000006</v>
      </c>
      <c r="P531">
        <f t="shared" si="60"/>
        <v>0</v>
      </c>
      <c r="Q531" t="b">
        <f t="shared" si="61"/>
        <v>0</v>
      </c>
      <c r="R531">
        <f t="shared" si="62"/>
        <v>0</v>
      </c>
      <c r="S531" s="14">
        <f>_xlfn.XLOOKUP(B531,Summary!$C$10:$C$15,Summary!$B$10:$B$15)</f>
        <v>0.22</v>
      </c>
      <c r="T531">
        <f>IF(AND(H531="Yes",L531&lt;&gt;"Government"),G531*(_xlfn.XLOOKUP(B531,Summary!$C$10:$C$15,Summary!$B$10:$B$15)),0)</f>
        <v>0</v>
      </c>
    </row>
    <row r="532" spans="1:20" x14ac:dyDescent="0.25">
      <c r="A532">
        <v>97884</v>
      </c>
      <c r="B532" t="s">
        <v>27</v>
      </c>
      <c r="C532" t="s">
        <v>25</v>
      </c>
      <c r="D532" s="11">
        <v>1321</v>
      </c>
      <c r="E532">
        <v>3.8</v>
      </c>
      <c r="F532">
        <v>5</v>
      </c>
      <c r="G532">
        <f t="shared" si="56"/>
        <v>6605</v>
      </c>
      <c r="H532" t="s">
        <v>71</v>
      </c>
      <c r="J532" s="9">
        <v>45425</v>
      </c>
      <c r="K532" t="s">
        <v>26</v>
      </c>
      <c r="L532" t="s">
        <v>24</v>
      </c>
      <c r="M532" t="str">
        <f t="shared" si="57"/>
        <v>Public Sector</v>
      </c>
      <c r="N532" t="str">
        <f t="shared" si="58"/>
        <v>Small Order</v>
      </c>
      <c r="O532">
        <f t="shared" si="59"/>
        <v>1519.15</v>
      </c>
      <c r="P532">
        <f t="shared" si="60"/>
        <v>0</v>
      </c>
      <c r="Q532" t="b">
        <f t="shared" si="61"/>
        <v>0</v>
      </c>
      <c r="R532">
        <f t="shared" si="62"/>
        <v>0</v>
      </c>
      <c r="S532" s="14">
        <f>_xlfn.XLOOKUP(B532,Summary!$C$10:$C$15,Summary!$B$10:$B$15)</f>
        <v>0.19</v>
      </c>
      <c r="T532">
        <f>IF(AND(H532="Yes",L532&lt;&gt;"Government"),G532*(_xlfn.XLOOKUP(B532,Summary!$C$10:$C$15,Summary!$B$10:$B$15)),0)</f>
        <v>0</v>
      </c>
    </row>
    <row r="533" spans="1:20" x14ac:dyDescent="0.25">
      <c r="A533">
        <v>12276</v>
      </c>
      <c r="B533" t="s">
        <v>42</v>
      </c>
      <c r="C533" t="s">
        <v>25</v>
      </c>
      <c r="D533" s="11">
        <v>2706</v>
      </c>
      <c r="E533">
        <v>3.81</v>
      </c>
      <c r="F533">
        <v>5</v>
      </c>
      <c r="G533">
        <f t="shared" si="56"/>
        <v>13530</v>
      </c>
      <c r="H533" t="s">
        <v>72</v>
      </c>
      <c r="J533" s="9">
        <v>45563</v>
      </c>
      <c r="K533" t="s">
        <v>41</v>
      </c>
      <c r="L533" t="s">
        <v>24</v>
      </c>
      <c r="M533" t="str">
        <f t="shared" si="57"/>
        <v>Public Sector</v>
      </c>
      <c r="N533" t="str">
        <f t="shared" si="58"/>
        <v>Large Order</v>
      </c>
      <c r="O533">
        <f t="shared" si="59"/>
        <v>0</v>
      </c>
      <c r="P533">
        <f t="shared" si="60"/>
        <v>0</v>
      </c>
      <c r="Q533" t="b">
        <f t="shared" si="61"/>
        <v>0</v>
      </c>
      <c r="R533">
        <f t="shared" si="62"/>
        <v>0</v>
      </c>
      <c r="S533" s="14">
        <f>_xlfn.XLOOKUP(B533,Summary!$C$10:$C$15,Summary!$B$10:$B$15)</f>
        <v>0.24</v>
      </c>
      <c r="T533">
        <f>IF(AND(H533="Yes",L533&lt;&gt;"Government"),G533*(_xlfn.XLOOKUP(B533,Summary!$C$10:$C$15,Summary!$B$10:$B$15)),0)</f>
        <v>0</v>
      </c>
    </row>
    <row r="534" spans="1:20" x14ac:dyDescent="0.25">
      <c r="A534">
        <v>99086</v>
      </c>
      <c r="B534" t="s">
        <v>43</v>
      </c>
      <c r="C534" t="s">
        <v>37</v>
      </c>
      <c r="D534" s="11">
        <v>2567</v>
      </c>
      <c r="E534">
        <v>250.05</v>
      </c>
      <c r="F534">
        <v>323</v>
      </c>
      <c r="G534">
        <f t="shared" si="56"/>
        <v>829141</v>
      </c>
      <c r="H534" t="s">
        <v>71</v>
      </c>
      <c r="J534" s="9">
        <v>45525</v>
      </c>
      <c r="K534" t="s">
        <v>41</v>
      </c>
      <c r="L534" t="s">
        <v>28</v>
      </c>
      <c r="M534" t="str">
        <f t="shared" si="57"/>
        <v>Private Industry</v>
      </c>
      <c r="N534" t="str">
        <f t="shared" si="58"/>
        <v>Large Order</v>
      </c>
      <c r="O534">
        <f t="shared" si="59"/>
        <v>190702.43000000002</v>
      </c>
      <c r="P534">
        <f t="shared" si="60"/>
        <v>190702.43000000002</v>
      </c>
      <c r="Q534" t="b">
        <f t="shared" si="61"/>
        <v>1</v>
      </c>
      <c r="R534">
        <f t="shared" si="62"/>
        <v>190702.43000000002</v>
      </c>
      <c r="S534" s="14">
        <f>_xlfn.XLOOKUP(B534,Summary!$C$10:$C$15,Summary!$B$10:$B$15)</f>
        <v>0.21</v>
      </c>
      <c r="T534">
        <f>IF(AND(H534="Yes",L534&lt;&gt;"Government"),G534*(_xlfn.XLOOKUP(B534,Summary!$C$10:$C$15,Summary!$B$10:$B$15)),0)</f>
        <v>174119.61</v>
      </c>
    </row>
    <row r="535" spans="1:20" x14ac:dyDescent="0.25">
      <c r="A535">
        <v>27198</v>
      </c>
      <c r="B535" t="s">
        <v>44</v>
      </c>
      <c r="C535" t="s">
        <v>37</v>
      </c>
      <c r="D535" s="11">
        <v>2109</v>
      </c>
      <c r="E535">
        <v>250.26</v>
      </c>
      <c r="F535">
        <v>346</v>
      </c>
      <c r="G535">
        <f t="shared" si="56"/>
        <v>729714</v>
      </c>
      <c r="H535" t="s">
        <v>72</v>
      </c>
      <c r="J535" s="9">
        <v>45480</v>
      </c>
      <c r="K535" t="s">
        <v>41</v>
      </c>
      <c r="L535" t="s">
        <v>31</v>
      </c>
      <c r="M535" t="str">
        <f t="shared" si="57"/>
        <v>Private Industry</v>
      </c>
      <c r="N535" t="str">
        <f t="shared" si="58"/>
        <v>Large Order</v>
      </c>
      <c r="O535">
        <f t="shared" si="59"/>
        <v>0</v>
      </c>
      <c r="P535">
        <f t="shared" si="60"/>
        <v>0</v>
      </c>
      <c r="Q535" t="b">
        <f t="shared" si="61"/>
        <v>0</v>
      </c>
      <c r="R535">
        <f t="shared" si="62"/>
        <v>0</v>
      </c>
      <c r="S535" s="14">
        <f>_xlfn.XLOOKUP(B535,Summary!$C$10:$C$15,Summary!$B$10:$B$15)</f>
        <v>0.2</v>
      </c>
      <c r="T535">
        <f>IF(AND(H535="Yes",L535&lt;&gt;"Government"),G535*(_xlfn.XLOOKUP(B535,Summary!$C$10:$C$15,Summary!$B$10:$B$15)),0)</f>
        <v>0</v>
      </c>
    </row>
    <row r="536" spans="1:20" x14ac:dyDescent="0.25">
      <c r="A536">
        <v>76952</v>
      </c>
      <c r="B536" t="s">
        <v>32</v>
      </c>
      <c r="C536" t="s">
        <v>30</v>
      </c>
      <c r="D536" s="11">
        <v>980</v>
      </c>
      <c r="E536">
        <v>5.72</v>
      </c>
      <c r="F536">
        <v>7</v>
      </c>
      <c r="G536">
        <f t="shared" si="56"/>
        <v>6860</v>
      </c>
      <c r="H536" t="s">
        <v>72</v>
      </c>
      <c r="J536" s="9">
        <v>45745</v>
      </c>
      <c r="K536" t="s">
        <v>40</v>
      </c>
      <c r="L536" t="s">
        <v>24</v>
      </c>
      <c r="M536" t="str">
        <f t="shared" si="57"/>
        <v>Public Sector</v>
      </c>
      <c r="N536" t="str">
        <f t="shared" si="58"/>
        <v>Small Order</v>
      </c>
      <c r="O536">
        <f t="shared" si="59"/>
        <v>0</v>
      </c>
      <c r="P536">
        <f t="shared" si="60"/>
        <v>0</v>
      </c>
      <c r="Q536" t="b">
        <f t="shared" si="61"/>
        <v>0</v>
      </c>
      <c r="R536">
        <f t="shared" si="62"/>
        <v>0</v>
      </c>
      <c r="S536" s="14">
        <f>_xlfn.XLOOKUP(B536,Summary!$C$10:$C$15,Summary!$B$10:$B$15)</f>
        <v>0.23</v>
      </c>
      <c r="T536">
        <f>IF(AND(H536="Yes",L536&lt;&gt;"Government"),G536*(_xlfn.XLOOKUP(B536,Summary!$C$10:$C$15,Summary!$B$10:$B$15)),0)</f>
        <v>0</v>
      </c>
    </row>
    <row r="537" spans="1:20" x14ac:dyDescent="0.25">
      <c r="A537">
        <v>41860</v>
      </c>
      <c r="B537" t="s">
        <v>43</v>
      </c>
      <c r="C537" t="s">
        <v>38</v>
      </c>
      <c r="D537" s="11">
        <v>2071</v>
      </c>
      <c r="E537">
        <v>260.08</v>
      </c>
      <c r="F537">
        <v>383</v>
      </c>
      <c r="G537">
        <f t="shared" si="56"/>
        <v>793193</v>
      </c>
      <c r="H537" t="s">
        <v>72</v>
      </c>
      <c r="J537" s="9">
        <v>45435</v>
      </c>
      <c r="K537" t="s">
        <v>40</v>
      </c>
      <c r="L537" t="s">
        <v>24</v>
      </c>
      <c r="M537" t="str">
        <f t="shared" si="57"/>
        <v>Public Sector</v>
      </c>
      <c r="N537" t="str">
        <f t="shared" si="58"/>
        <v>Large Order</v>
      </c>
      <c r="O537">
        <f t="shared" si="59"/>
        <v>0</v>
      </c>
      <c r="P537">
        <f t="shared" si="60"/>
        <v>0</v>
      </c>
      <c r="Q537" t="b">
        <f t="shared" si="61"/>
        <v>0</v>
      </c>
      <c r="R537">
        <f t="shared" si="62"/>
        <v>0</v>
      </c>
      <c r="S537" s="14">
        <f>_xlfn.XLOOKUP(B537,Summary!$C$10:$C$15,Summary!$B$10:$B$15)</f>
        <v>0.21</v>
      </c>
      <c r="T537">
        <f>IF(AND(H537="Yes",L537&lt;&gt;"Government"),G537*(_xlfn.XLOOKUP(B537,Summary!$C$10:$C$15,Summary!$B$10:$B$15)),0)</f>
        <v>0</v>
      </c>
    </row>
    <row r="538" spans="1:20" x14ac:dyDescent="0.25">
      <c r="A538">
        <v>75053</v>
      </c>
      <c r="B538" t="s">
        <v>44</v>
      </c>
      <c r="C538" t="s">
        <v>30</v>
      </c>
      <c r="D538" s="11">
        <v>488</v>
      </c>
      <c r="E538">
        <v>5.22</v>
      </c>
      <c r="F538">
        <v>6</v>
      </c>
      <c r="G538">
        <f t="shared" si="56"/>
        <v>2928</v>
      </c>
      <c r="H538" t="s">
        <v>72</v>
      </c>
      <c r="J538" s="9">
        <v>45106</v>
      </c>
      <c r="K538" t="s">
        <v>40</v>
      </c>
      <c r="L538" t="s">
        <v>24</v>
      </c>
      <c r="M538" t="str">
        <f t="shared" si="57"/>
        <v>Public Sector</v>
      </c>
      <c r="N538" t="str">
        <f t="shared" si="58"/>
        <v>Small Order</v>
      </c>
      <c r="O538">
        <f t="shared" si="59"/>
        <v>0</v>
      </c>
      <c r="P538">
        <f t="shared" si="60"/>
        <v>0</v>
      </c>
      <c r="Q538" t="b">
        <f t="shared" si="61"/>
        <v>0</v>
      </c>
      <c r="R538">
        <f t="shared" si="62"/>
        <v>0</v>
      </c>
      <c r="S538" s="14">
        <f>_xlfn.XLOOKUP(B538,Summary!$C$10:$C$15,Summary!$B$10:$B$15)</f>
        <v>0.2</v>
      </c>
      <c r="T538">
        <f>IF(AND(H538="Yes",L538&lt;&gt;"Government"),G538*(_xlfn.XLOOKUP(B538,Summary!$C$10:$C$15,Summary!$B$10:$B$15)),0)</f>
        <v>0</v>
      </c>
    </row>
    <row r="539" spans="1:20" x14ac:dyDescent="0.25">
      <c r="A539">
        <v>27406</v>
      </c>
      <c r="B539" t="s">
        <v>43</v>
      </c>
      <c r="C539" t="s">
        <v>37</v>
      </c>
      <c r="D539" s="11">
        <v>2541</v>
      </c>
      <c r="E539">
        <v>250.6</v>
      </c>
      <c r="F539">
        <v>261</v>
      </c>
      <c r="G539">
        <f t="shared" si="56"/>
        <v>663201</v>
      </c>
      <c r="H539" t="s">
        <v>71</v>
      </c>
      <c r="J539" s="9">
        <v>45573</v>
      </c>
      <c r="K539" t="s">
        <v>41</v>
      </c>
      <c r="L539" t="s">
        <v>34</v>
      </c>
      <c r="M539" t="str">
        <f t="shared" si="57"/>
        <v>Private Industry</v>
      </c>
      <c r="N539" t="str">
        <f t="shared" si="58"/>
        <v>Large Order</v>
      </c>
      <c r="O539">
        <f t="shared" si="59"/>
        <v>152536.23000000001</v>
      </c>
      <c r="P539">
        <f t="shared" si="60"/>
        <v>152536.23000000001</v>
      </c>
      <c r="Q539" t="b">
        <f t="shared" si="61"/>
        <v>1</v>
      </c>
      <c r="R539">
        <f t="shared" si="62"/>
        <v>152536.23000000001</v>
      </c>
      <c r="S539" s="14">
        <f>_xlfn.XLOOKUP(B539,Summary!$C$10:$C$15,Summary!$B$10:$B$15)</f>
        <v>0.21</v>
      </c>
      <c r="T539">
        <f>IF(AND(H539="Yes",L539&lt;&gt;"Government"),G539*(_xlfn.XLOOKUP(B539,Summary!$C$10:$C$15,Summary!$B$10:$B$15)),0)</f>
        <v>139272.21</v>
      </c>
    </row>
    <row r="540" spans="1:20" x14ac:dyDescent="0.25">
      <c r="A540">
        <v>55012</v>
      </c>
      <c r="B540" t="s">
        <v>42</v>
      </c>
      <c r="C540" t="s">
        <v>25</v>
      </c>
      <c r="D540" s="11">
        <v>367</v>
      </c>
      <c r="E540">
        <v>3.04</v>
      </c>
      <c r="F540">
        <v>4</v>
      </c>
      <c r="G540">
        <f t="shared" si="56"/>
        <v>1468</v>
      </c>
      <c r="H540" t="s">
        <v>72</v>
      </c>
      <c r="J540" s="9">
        <v>45614</v>
      </c>
      <c r="K540" t="s">
        <v>40</v>
      </c>
      <c r="L540" t="s">
        <v>31</v>
      </c>
      <c r="M540" t="str">
        <f t="shared" si="57"/>
        <v>Private Industry</v>
      </c>
      <c r="N540" t="str">
        <f t="shared" si="58"/>
        <v>Small Order</v>
      </c>
      <c r="O540">
        <f t="shared" si="59"/>
        <v>0</v>
      </c>
      <c r="P540">
        <f t="shared" si="60"/>
        <v>0</v>
      </c>
      <c r="Q540" t="b">
        <f t="shared" si="61"/>
        <v>0</v>
      </c>
      <c r="R540">
        <f t="shared" si="62"/>
        <v>0</v>
      </c>
      <c r="S540" s="14">
        <f>_xlfn.XLOOKUP(B540,Summary!$C$10:$C$15,Summary!$B$10:$B$15)</f>
        <v>0.24</v>
      </c>
      <c r="T540">
        <f>IF(AND(H540="Yes",L540&lt;&gt;"Government"),G540*(_xlfn.XLOOKUP(B540,Summary!$C$10:$C$15,Summary!$B$10:$B$15)),0)</f>
        <v>0</v>
      </c>
    </row>
    <row r="541" spans="1:20" x14ac:dyDescent="0.25">
      <c r="A541">
        <v>81479</v>
      </c>
      <c r="B541" t="s">
        <v>29</v>
      </c>
      <c r="C541" t="s">
        <v>35</v>
      </c>
      <c r="D541" s="11">
        <v>3801</v>
      </c>
      <c r="E541">
        <v>10.18</v>
      </c>
      <c r="F541">
        <v>15</v>
      </c>
      <c r="G541">
        <f t="shared" si="56"/>
        <v>57015</v>
      </c>
      <c r="H541" t="s">
        <v>72</v>
      </c>
      <c r="J541" s="9">
        <v>45522</v>
      </c>
      <c r="K541" t="s">
        <v>40</v>
      </c>
      <c r="L541" t="s">
        <v>28</v>
      </c>
      <c r="M541" t="str">
        <f t="shared" si="57"/>
        <v>Private Industry</v>
      </c>
      <c r="N541" t="str">
        <f t="shared" si="58"/>
        <v>Large Order</v>
      </c>
      <c r="O541">
        <f t="shared" si="59"/>
        <v>0</v>
      </c>
      <c r="P541">
        <f t="shared" si="60"/>
        <v>0</v>
      </c>
      <c r="Q541" t="b">
        <f t="shared" si="61"/>
        <v>0</v>
      </c>
      <c r="R541">
        <f t="shared" si="62"/>
        <v>0</v>
      </c>
      <c r="S541" s="14">
        <f>_xlfn.XLOOKUP(B541,Summary!$C$10:$C$15,Summary!$B$10:$B$15)</f>
        <v>0.22</v>
      </c>
      <c r="T541">
        <f>IF(AND(H541="Yes",L541&lt;&gt;"Government"),G541*(_xlfn.XLOOKUP(B541,Summary!$C$10:$C$15,Summary!$B$10:$B$15)),0)</f>
        <v>0</v>
      </c>
    </row>
    <row r="542" spans="1:20" x14ac:dyDescent="0.25">
      <c r="A542">
        <v>87066</v>
      </c>
      <c r="B542" t="s">
        <v>44</v>
      </c>
      <c r="C542" t="s">
        <v>35</v>
      </c>
      <c r="D542" s="11">
        <v>292</v>
      </c>
      <c r="E542">
        <v>10.19</v>
      </c>
      <c r="F542">
        <v>13</v>
      </c>
      <c r="G542">
        <f t="shared" si="56"/>
        <v>3796</v>
      </c>
      <c r="H542" t="s">
        <v>71</v>
      </c>
      <c r="J542" s="9">
        <v>45704</v>
      </c>
      <c r="K542" t="s">
        <v>26</v>
      </c>
      <c r="L542" t="s">
        <v>24</v>
      </c>
      <c r="M542" t="str">
        <f t="shared" si="57"/>
        <v>Public Sector</v>
      </c>
      <c r="N542" t="str">
        <f t="shared" si="58"/>
        <v>Small Order</v>
      </c>
      <c r="O542">
        <f t="shared" si="59"/>
        <v>873.08</v>
      </c>
      <c r="P542">
        <f t="shared" si="60"/>
        <v>0</v>
      </c>
      <c r="Q542" t="b">
        <f t="shared" si="61"/>
        <v>0</v>
      </c>
      <c r="R542">
        <f t="shared" si="62"/>
        <v>0</v>
      </c>
      <c r="S542" s="14">
        <f>_xlfn.XLOOKUP(B542,Summary!$C$10:$C$15,Summary!$B$10:$B$15)</f>
        <v>0.2</v>
      </c>
      <c r="T542">
        <f>IF(AND(H542="Yes",L542&lt;&gt;"Government"),G542*(_xlfn.XLOOKUP(B542,Summary!$C$10:$C$15,Summary!$B$10:$B$15)),0)</f>
        <v>0</v>
      </c>
    </row>
    <row r="543" spans="1:20" x14ac:dyDescent="0.25">
      <c r="A543">
        <v>79389</v>
      </c>
      <c r="B543" t="s">
        <v>43</v>
      </c>
      <c r="C543" t="s">
        <v>38</v>
      </c>
      <c r="D543" s="11">
        <v>615</v>
      </c>
      <c r="E543">
        <v>260.74</v>
      </c>
      <c r="F543">
        <v>324</v>
      </c>
      <c r="G543">
        <f t="shared" si="56"/>
        <v>199260</v>
      </c>
      <c r="H543" t="s">
        <v>72</v>
      </c>
      <c r="J543" s="9">
        <v>45582</v>
      </c>
      <c r="K543" t="s">
        <v>26</v>
      </c>
      <c r="L543" t="s">
        <v>28</v>
      </c>
      <c r="M543" t="str">
        <f t="shared" si="57"/>
        <v>Private Industry</v>
      </c>
      <c r="N543" t="str">
        <f t="shared" si="58"/>
        <v>Small Order</v>
      </c>
      <c r="O543">
        <f t="shared" si="59"/>
        <v>0</v>
      </c>
      <c r="P543">
        <f t="shared" si="60"/>
        <v>0</v>
      </c>
      <c r="Q543" t="b">
        <f t="shared" si="61"/>
        <v>0</v>
      </c>
      <c r="R543">
        <f t="shared" si="62"/>
        <v>0</v>
      </c>
      <c r="S543" s="14">
        <f>_xlfn.XLOOKUP(B543,Summary!$C$10:$C$15,Summary!$B$10:$B$15)</f>
        <v>0.21</v>
      </c>
      <c r="T543">
        <f>IF(AND(H543="Yes",L543&lt;&gt;"Government"),G543*(_xlfn.XLOOKUP(B543,Summary!$C$10:$C$15,Summary!$B$10:$B$15)),0)</f>
        <v>0</v>
      </c>
    </row>
    <row r="544" spans="1:20" x14ac:dyDescent="0.25">
      <c r="A544">
        <v>12953</v>
      </c>
      <c r="B544" t="s">
        <v>27</v>
      </c>
      <c r="C544" t="s">
        <v>25</v>
      </c>
      <c r="D544" s="11">
        <v>2580</v>
      </c>
      <c r="E544">
        <v>3.83</v>
      </c>
      <c r="F544">
        <v>5</v>
      </c>
      <c r="G544">
        <f t="shared" si="56"/>
        <v>12900</v>
      </c>
      <c r="H544" t="s">
        <v>71</v>
      </c>
      <c r="J544" s="9">
        <v>45266</v>
      </c>
      <c r="K544" t="s">
        <v>39</v>
      </c>
      <c r="L544" t="s">
        <v>24</v>
      </c>
      <c r="M544" t="str">
        <f t="shared" si="57"/>
        <v>Public Sector</v>
      </c>
      <c r="N544" t="str">
        <f t="shared" si="58"/>
        <v>Large Order</v>
      </c>
      <c r="O544">
        <f t="shared" si="59"/>
        <v>2967</v>
      </c>
      <c r="P544">
        <f t="shared" si="60"/>
        <v>0</v>
      </c>
      <c r="Q544" t="b">
        <f t="shared" si="61"/>
        <v>0</v>
      </c>
      <c r="R544">
        <f t="shared" si="62"/>
        <v>0</v>
      </c>
      <c r="S544" s="14">
        <f>_xlfn.XLOOKUP(B544,Summary!$C$10:$C$15,Summary!$B$10:$B$15)</f>
        <v>0.19</v>
      </c>
      <c r="T544">
        <f>IF(AND(H544="Yes",L544&lt;&gt;"Government"),G544*(_xlfn.XLOOKUP(B544,Summary!$C$10:$C$15,Summary!$B$10:$B$15)),0)</f>
        <v>0</v>
      </c>
    </row>
    <row r="545" spans="1:20" x14ac:dyDescent="0.25">
      <c r="A545">
        <v>23817</v>
      </c>
      <c r="B545" t="s">
        <v>43</v>
      </c>
      <c r="C545" t="s">
        <v>38</v>
      </c>
      <c r="D545" s="11">
        <v>2141</v>
      </c>
      <c r="E545">
        <v>260.82</v>
      </c>
      <c r="F545">
        <v>337</v>
      </c>
      <c r="G545">
        <f t="shared" si="56"/>
        <v>721517</v>
      </c>
      <c r="H545" t="s">
        <v>71</v>
      </c>
      <c r="J545" s="9">
        <v>45147</v>
      </c>
      <c r="K545" t="s">
        <v>26</v>
      </c>
      <c r="L545" t="s">
        <v>31</v>
      </c>
      <c r="M545" t="str">
        <f t="shared" si="57"/>
        <v>Private Industry</v>
      </c>
      <c r="N545" t="str">
        <f t="shared" si="58"/>
        <v>Large Order</v>
      </c>
      <c r="O545">
        <f t="shared" si="59"/>
        <v>165948.91</v>
      </c>
      <c r="P545">
        <f t="shared" si="60"/>
        <v>165948.91</v>
      </c>
      <c r="Q545" t="b">
        <f t="shared" si="61"/>
        <v>1</v>
      </c>
      <c r="R545">
        <f t="shared" si="62"/>
        <v>165948.91</v>
      </c>
      <c r="S545" s="14">
        <f>_xlfn.XLOOKUP(B545,Summary!$C$10:$C$15,Summary!$B$10:$B$15)</f>
        <v>0.21</v>
      </c>
      <c r="T545">
        <f>IF(AND(H545="Yes",L545&lt;&gt;"Government"),G545*(_xlfn.XLOOKUP(B545,Summary!$C$10:$C$15,Summary!$B$10:$B$15)),0)</f>
        <v>151518.57</v>
      </c>
    </row>
    <row r="546" spans="1:20" x14ac:dyDescent="0.25">
      <c r="A546">
        <v>89468</v>
      </c>
      <c r="B546" t="s">
        <v>43</v>
      </c>
      <c r="C546" t="s">
        <v>36</v>
      </c>
      <c r="D546" s="11">
        <v>602</v>
      </c>
      <c r="E546">
        <v>120.85</v>
      </c>
      <c r="F546">
        <v>176</v>
      </c>
      <c r="G546">
        <f t="shared" si="56"/>
        <v>105952</v>
      </c>
      <c r="H546" t="s">
        <v>71</v>
      </c>
      <c r="J546" s="9">
        <v>45198</v>
      </c>
      <c r="K546" t="s">
        <v>40</v>
      </c>
      <c r="L546" t="s">
        <v>24</v>
      </c>
      <c r="M546" t="str">
        <f t="shared" si="57"/>
        <v>Public Sector</v>
      </c>
      <c r="N546" t="str">
        <f t="shared" si="58"/>
        <v>Small Order</v>
      </c>
      <c r="O546">
        <f t="shared" si="59"/>
        <v>24368.960000000003</v>
      </c>
      <c r="P546">
        <f t="shared" si="60"/>
        <v>0</v>
      </c>
      <c r="Q546" t="b">
        <f t="shared" si="61"/>
        <v>0</v>
      </c>
      <c r="R546">
        <f t="shared" si="62"/>
        <v>0</v>
      </c>
      <c r="S546" s="14">
        <f>_xlfn.XLOOKUP(B546,Summary!$C$10:$C$15,Summary!$B$10:$B$15)</f>
        <v>0.21</v>
      </c>
      <c r="T546">
        <f>IF(AND(H546="Yes",L546&lt;&gt;"Government"),G546*(_xlfn.XLOOKUP(B546,Summary!$C$10:$C$15,Summary!$B$10:$B$15)),0)</f>
        <v>0</v>
      </c>
    </row>
    <row r="547" spans="1:20" x14ac:dyDescent="0.25">
      <c r="A547">
        <v>45374</v>
      </c>
      <c r="B547" t="s">
        <v>44</v>
      </c>
      <c r="C547" t="s">
        <v>35</v>
      </c>
      <c r="D547" s="11">
        <v>4026</v>
      </c>
      <c r="E547">
        <v>10.97</v>
      </c>
      <c r="F547">
        <v>14</v>
      </c>
      <c r="G547">
        <f t="shared" si="56"/>
        <v>56364</v>
      </c>
      <c r="H547" t="s">
        <v>72</v>
      </c>
      <c r="J547" s="9">
        <v>45722</v>
      </c>
      <c r="K547" t="s">
        <v>41</v>
      </c>
      <c r="L547" t="s">
        <v>31</v>
      </c>
      <c r="M547" t="str">
        <f t="shared" si="57"/>
        <v>Private Industry</v>
      </c>
      <c r="N547" t="str">
        <f t="shared" si="58"/>
        <v>Large Order</v>
      </c>
      <c r="O547">
        <f t="shared" si="59"/>
        <v>0</v>
      </c>
      <c r="P547">
        <f t="shared" si="60"/>
        <v>0</v>
      </c>
      <c r="Q547" t="b">
        <f t="shared" si="61"/>
        <v>0</v>
      </c>
      <c r="R547">
        <f t="shared" si="62"/>
        <v>0</v>
      </c>
      <c r="S547" s="14">
        <f>_xlfn.XLOOKUP(B547,Summary!$C$10:$C$15,Summary!$B$10:$B$15)</f>
        <v>0.2</v>
      </c>
      <c r="T547">
        <f>IF(AND(H547="Yes",L547&lt;&gt;"Government"),G547*(_xlfn.XLOOKUP(B547,Summary!$C$10:$C$15,Summary!$B$10:$B$15)),0)</f>
        <v>0</v>
      </c>
    </row>
    <row r="548" spans="1:20" x14ac:dyDescent="0.25">
      <c r="A548">
        <v>53159</v>
      </c>
      <c r="B548" t="s">
        <v>27</v>
      </c>
      <c r="C548" t="s">
        <v>38</v>
      </c>
      <c r="D548" s="11">
        <v>994</v>
      </c>
      <c r="E548">
        <v>260.35000000000002</v>
      </c>
      <c r="F548">
        <v>344</v>
      </c>
      <c r="G548">
        <f t="shared" si="56"/>
        <v>341936</v>
      </c>
      <c r="H548" t="s">
        <v>72</v>
      </c>
      <c r="J548" s="9">
        <v>45677</v>
      </c>
      <c r="K548" t="s">
        <v>40</v>
      </c>
      <c r="L548" t="s">
        <v>33</v>
      </c>
      <c r="M548" t="str">
        <f t="shared" si="57"/>
        <v>Private Industry</v>
      </c>
      <c r="N548" t="str">
        <f t="shared" si="58"/>
        <v>Small Order</v>
      </c>
      <c r="O548">
        <f t="shared" si="59"/>
        <v>0</v>
      </c>
      <c r="P548">
        <f t="shared" si="60"/>
        <v>0</v>
      </c>
      <c r="Q548" t="b">
        <f t="shared" si="61"/>
        <v>0</v>
      </c>
      <c r="R548">
        <f t="shared" si="62"/>
        <v>0</v>
      </c>
      <c r="S548" s="14">
        <f>_xlfn.XLOOKUP(B548,Summary!$C$10:$C$15,Summary!$B$10:$B$15)</f>
        <v>0.19</v>
      </c>
      <c r="T548">
        <f>IF(AND(H548="Yes",L548&lt;&gt;"Government"),G548*(_xlfn.XLOOKUP(B548,Summary!$C$10:$C$15,Summary!$B$10:$B$15)),0)</f>
        <v>0</v>
      </c>
    </row>
    <row r="549" spans="1:20" x14ac:dyDescent="0.25">
      <c r="A549">
        <v>87513</v>
      </c>
      <c r="B549" t="s">
        <v>32</v>
      </c>
      <c r="C549" t="s">
        <v>38</v>
      </c>
      <c r="D549" s="11">
        <v>2240</v>
      </c>
      <c r="E549">
        <v>260.45</v>
      </c>
      <c r="F549">
        <v>350</v>
      </c>
      <c r="G549">
        <f t="shared" si="56"/>
        <v>784000</v>
      </c>
      <c r="H549" t="s">
        <v>71</v>
      </c>
      <c r="J549" s="9">
        <v>45723</v>
      </c>
      <c r="K549" t="s">
        <v>41</v>
      </c>
      <c r="L549" t="s">
        <v>24</v>
      </c>
      <c r="M549" t="str">
        <f t="shared" si="57"/>
        <v>Public Sector</v>
      </c>
      <c r="N549" t="str">
        <f t="shared" si="58"/>
        <v>Large Order</v>
      </c>
      <c r="O549">
        <f t="shared" si="59"/>
        <v>180320</v>
      </c>
      <c r="P549">
        <f t="shared" si="60"/>
        <v>0</v>
      </c>
      <c r="Q549" t="b">
        <f t="shared" si="61"/>
        <v>0</v>
      </c>
      <c r="R549">
        <f t="shared" si="62"/>
        <v>0</v>
      </c>
      <c r="S549" s="14">
        <f>_xlfn.XLOOKUP(B549,Summary!$C$10:$C$15,Summary!$B$10:$B$15)</f>
        <v>0.23</v>
      </c>
      <c r="T549">
        <f>IF(AND(H549="Yes",L549&lt;&gt;"Government"),G549*(_xlfn.XLOOKUP(B549,Summary!$C$10:$C$15,Summary!$B$10:$B$15)),0)</f>
        <v>0</v>
      </c>
    </row>
    <row r="550" spans="1:20" x14ac:dyDescent="0.25">
      <c r="A550">
        <v>63881</v>
      </c>
      <c r="B550" t="s">
        <v>29</v>
      </c>
      <c r="C550" t="s">
        <v>36</v>
      </c>
      <c r="D550" s="11">
        <v>663</v>
      </c>
      <c r="E550">
        <v>120.13</v>
      </c>
      <c r="F550">
        <v>181</v>
      </c>
      <c r="G550">
        <f t="shared" si="56"/>
        <v>120003</v>
      </c>
      <c r="H550" t="s">
        <v>71</v>
      </c>
      <c r="J550" s="9">
        <v>45291</v>
      </c>
      <c r="K550" t="s">
        <v>41</v>
      </c>
      <c r="L550" t="s">
        <v>33</v>
      </c>
      <c r="M550" t="str">
        <f t="shared" si="57"/>
        <v>Private Industry</v>
      </c>
      <c r="N550" t="str">
        <f t="shared" si="58"/>
        <v>Small Order</v>
      </c>
      <c r="O550">
        <f t="shared" si="59"/>
        <v>27600.690000000002</v>
      </c>
      <c r="P550">
        <f t="shared" si="60"/>
        <v>27600.690000000002</v>
      </c>
      <c r="Q550" t="b">
        <f t="shared" si="61"/>
        <v>1</v>
      </c>
      <c r="R550">
        <f t="shared" si="62"/>
        <v>27600.690000000002</v>
      </c>
      <c r="S550" s="14">
        <f>_xlfn.XLOOKUP(B550,Summary!$C$10:$C$15,Summary!$B$10:$B$15)</f>
        <v>0.22</v>
      </c>
      <c r="T550">
        <f>IF(AND(H550="Yes",L550&lt;&gt;"Government"),G550*(_xlfn.XLOOKUP(B550,Summary!$C$10:$C$15,Summary!$B$10:$B$15)),0)</f>
        <v>26400.66</v>
      </c>
    </row>
    <row r="551" spans="1:20" x14ac:dyDescent="0.25">
      <c r="A551">
        <v>37283</v>
      </c>
      <c r="B551" t="s">
        <v>32</v>
      </c>
      <c r="C551" t="s">
        <v>35</v>
      </c>
      <c r="D551" s="11">
        <v>2931</v>
      </c>
      <c r="E551">
        <v>10.66</v>
      </c>
      <c r="F551">
        <v>13</v>
      </c>
      <c r="G551">
        <f t="shared" si="56"/>
        <v>38103</v>
      </c>
      <c r="H551" t="s">
        <v>72</v>
      </c>
      <c r="J551" s="9">
        <v>45700</v>
      </c>
      <c r="K551" t="s">
        <v>40</v>
      </c>
      <c r="L551" t="s">
        <v>28</v>
      </c>
      <c r="M551" t="str">
        <f t="shared" si="57"/>
        <v>Private Industry</v>
      </c>
      <c r="N551" t="str">
        <f t="shared" si="58"/>
        <v>Large Order</v>
      </c>
      <c r="O551">
        <f t="shared" si="59"/>
        <v>0</v>
      </c>
      <c r="P551">
        <f t="shared" si="60"/>
        <v>0</v>
      </c>
      <c r="Q551" t="b">
        <f t="shared" si="61"/>
        <v>0</v>
      </c>
      <c r="R551">
        <f t="shared" si="62"/>
        <v>0</v>
      </c>
      <c r="S551" s="14">
        <f>_xlfn.XLOOKUP(B551,Summary!$C$10:$C$15,Summary!$B$10:$B$15)</f>
        <v>0.23</v>
      </c>
      <c r="T551">
        <f>IF(AND(H551="Yes",L551&lt;&gt;"Government"),G551*(_xlfn.XLOOKUP(B551,Summary!$C$10:$C$15,Summary!$B$10:$B$15)),0)</f>
        <v>0</v>
      </c>
    </row>
    <row r="552" spans="1:20" x14ac:dyDescent="0.25">
      <c r="A552">
        <v>60601</v>
      </c>
      <c r="B552" t="s">
        <v>29</v>
      </c>
      <c r="C552" t="s">
        <v>37</v>
      </c>
      <c r="D552" s="11">
        <v>381</v>
      </c>
      <c r="E552">
        <v>250.66</v>
      </c>
      <c r="F552">
        <v>334</v>
      </c>
      <c r="G552">
        <f t="shared" si="56"/>
        <v>127254</v>
      </c>
      <c r="H552" t="s">
        <v>71</v>
      </c>
      <c r="J552" s="9">
        <v>45301</v>
      </c>
      <c r="K552" t="s">
        <v>40</v>
      </c>
      <c r="L552" t="s">
        <v>24</v>
      </c>
      <c r="M552" t="str">
        <f t="shared" si="57"/>
        <v>Public Sector</v>
      </c>
      <c r="N552" t="str">
        <f t="shared" si="58"/>
        <v>Small Order</v>
      </c>
      <c r="O552">
        <f t="shared" si="59"/>
        <v>29268.420000000002</v>
      </c>
      <c r="P552">
        <f t="shared" si="60"/>
        <v>0</v>
      </c>
      <c r="Q552" t="b">
        <f t="shared" si="61"/>
        <v>0</v>
      </c>
      <c r="R552">
        <f t="shared" si="62"/>
        <v>0</v>
      </c>
      <c r="S552" s="14">
        <f>_xlfn.XLOOKUP(B552,Summary!$C$10:$C$15,Summary!$B$10:$B$15)</f>
        <v>0.22</v>
      </c>
      <c r="T552">
        <f>IF(AND(H552="Yes",L552&lt;&gt;"Government"),G552*(_xlfn.XLOOKUP(B552,Summary!$C$10:$C$15,Summary!$B$10:$B$15)),0)</f>
        <v>0</v>
      </c>
    </row>
    <row r="553" spans="1:20" x14ac:dyDescent="0.25">
      <c r="A553">
        <v>62513</v>
      </c>
      <c r="B553" t="s">
        <v>27</v>
      </c>
      <c r="C553" t="s">
        <v>37</v>
      </c>
      <c r="D553" s="11">
        <v>214</v>
      </c>
      <c r="E553">
        <v>250.7</v>
      </c>
      <c r="F553">
        <v>367</v>
      </c>
      <c r="G553">
        <f t="shared" si="56"/>
        <v>78538</v>
      </c>
      <c r="H553" t="s">
        <v>71</v>
      </c>
      <c r="J553" s="9">
        <v>45259</v>
      </c>
      <c r="K553" t="s">
        <v>39</v>
      </c>
      <c r="L553" t="s">
        <v>34</v>
      </c>
      <c r="M553" t="str">
        <f t="shared" si="57"/>
        <v>Private Industry</v>
      </c>
      <c r="N553" t="str">
        <f t="shared" si="58"/>
        <v>Small Order</v>
      </c>
      <c r="O553">
        <f t="shared" si="59"/>
        <v>18063.740000000002</v>
      </c>
      <c r="P553">
        <f t="shared" si="60"/>
        <v>18063.740000000002</v>
      </c>
      <c r="Q553" t="b">
        <f t="shared" si="61"/>
        <v>1</v>
      </c>
      <c r="R553">
        <f t="shared" si="62"/>
        <v>18063.740000000002</v>
      </c>
      <c r="S553" s="14">
        <f>_xlfn.XLOOKUP(B553,Summary!$C$10:$C$15,Summary!$B$10:$B$15)</f>
        <v>0.19</v>
      </c>
      <c r="T553">
        <f>IF(AND(H553="Yes",L553&lt;&gt;"Government"),G553*(_xlfn.XLOOKUP(B553,Summary!$C$10:$C$15,Summary!$B$10:$B$15)),0)</f>
        <v>14922.22</v>
      </c>
    </row>
    <row r="554" spans="1:20" x14ac:dyDescent="0.25">
      <c r="A554">
        <v>51607</v>
      </c>
      <c r="B554" t="s">
        <v>42</v>
      </c>
      <c r="C554" t="s">
        <v>36</v>
      </c>
      <c r="D554" s="11">
        <v>410</v>
      </c>
      <c r="E554">
        <v>120.2</v>
      </c>
      <c r="F554">
        <v>146</v>
      </c>
      <c r="G554">
        <f t="shared" si="56"/>
        <v>59860</v>
      </c>
      <c r="H554" t="s">
        <v>71</v>
      </c>
      <c r="J554" s="9">
        <v>45135</v>
      </c>
      <c r="K554" t="s">
        <v>41</v>
      </c>
      <c r="L554" t="s">
        <v>31</v>
      </c>
      <c r="M554" t="str">
        <f t="shared" si="57"/>
        <v>Private Industry</v>
      </c>
      <c r="N554" t="str">
        <f t="shared" si="58"/>
        <v>Small Order</v>
      </c>
      <c r="O554">
        <f t="shared" si="59"/>
        <v>13767.800000000001</v>
      </c>
      <c r="P554">
        <f t="shared" si="60"/>
        <v>13767.800000000001</v>
      </c>
      <c r="Q554" t="b">
        <f t="shared" si="61"/>
        <v>1</v>
      </c>
      <c r="R554">
        <f t="shared" si="62"/>
        <v>13767.800000000001</v>
      </c>
      <c r="S554" s="14">
        <f>_xlfn.XLOOKUP(B554,Summary!$C$10:$C$15,Summary!$B$10:$B$15)</f>
        <v>0.24</v>
      </c>
      <c r="T554">
        <f>IF(AND(H554="Yes",L554&lt;&gt;"Government"),G554*(_xlfn.XLOOKUP(B554,Summary!$C$10:$C$15,Summary!$B$10:$B$15)),0)</f>
        <v>14366.4</v>
      </c>
    </row>
    <row r="555" spans="1:20" x14ac:dyDescent="0.25">
      <c r="A555">
        <v>12001</v>
      </c>
      <c r="B555" t="s">
        <v>32</v>
      </c>
      <c r="C555" t="s">
        <v>37</v>
      </c>
      <c r="D555" s="11">
        <v>877</v>
      </c>
      <c r="E555">
        <v>250.34</v>
      </c>
      <c r="F555">
        <v>343</v>
      </c>
      <c r="G555">
        <f t="shared" si="56"/>
        <v>300811</v>
      </c>
      <c r="H555" t="s">
        <v>72</v>
      </c>
      <c r="J555" s="9">
        <v>45725</v>
      </c>
      <c r="K555" t="s">
        <v>40</v>
      </c>
      <c r="L555" t="s">
        <v>33</v>
      </c>
      <c r="M555" t="str">
        <f t="shared" si="57"/>
        <v>Private Industry</v>
      </c>
      <c r="N555" t="str">
        <f t="shared" si="58"/>
        <v>Small Order</v>
      </c>
      <c r="O555">
        <f t="shared" si="59"/>
        <v>0</v>
      </c>
      <c r="P555">
        <f t="shared" si="60"/>
        <v>0</v>
      </c>
      <c r="Q555" t="b">
        <f t="shared" si="61"/>
        <v>0</v>
      </c>
      <c r="R555">
        <f t="shared" si="62"/>
        <v>0</v>
      </c>
      <c r="S555" s="14">
        <f>_xlfn.XLOOKUP(B555,Summary!$C$10:$C$15,Summary!$B$10:$B$15)</f>
        <v>0.23</v>
      </c>
      <c r="T555">
        <f>IF(AND(H555="Yes",L555&lt;&gt;"Government"),G555*(_xlfn.XLOOKUP(B555,Summary!$C$10:$C$15,Summary!$B$10:$B$15)),0)</f>
        <v>0</v>
      </c>
    </row>
    <row r="556" spans="1:20" x14ac:dyDescent="0.25">
      <c r="A556">
        <v>54440</v>
      </c>
      <c r="B556" t="s">
        <v>44</v>
      </c>
      <c r="C556" t="s">
        <v>35</v>
      </c>
      <c r="D556" s="11">
        <v>1774</v>
      </c>
      <c r="E556">
        <v>10.92</v>
      </c>
      <c r="F556">
        <v>12</v>
      </c>
      <c r="G556">
        <f t="shared" si="56"/>
        <v>21288</v>
      </c>
      <c r="H556" t="s">
        <v>72</v>
      </c>
      <c r="J556" s="9">
        <v>45405</v>
      </c>
      <c r="K556" t="s">
        <v>39</v>
      </c>
      <c r="L556" t="s">
        <v>33</v>
      </c>
      <c r="M556" t="str">
        <f t="shared" si="57"/>
        <v>Private Industry</v>
      </c>
      <c r="N556" t="str">
        <f t="shared" si="58"/>
        <v>Large Order</v>
      </c>
      <c r="O556">
        <f t="shared" si="59"/>
        <v>0</v>
      </c>
      <c r="P556">
        <f t="shared" si="60"/>
        <v>0</v>
      </c>
      <c r="Q556" t="b">
        <f t="shared" si="61"/>
        <v>0</v>
      </c>
      <c r="R556">
        <f t="shared" si="62"/>
        <v>0</v>
      </c>
      <c r="S556" s="14">
        <f>_xlfn.XLOOKUP(B556,Summary!$C$10:$C$15,Summary!$B$10:$B$15)</f>
        <v>0.2</v>
      </c>
      <c r="T556">
        <f>IF(AND(H556="Yes",L556&lt;&gt;"Government"),G556*(_xlfn.XLOOKUP(B556,Summary!$C$10:$C$15,Summary!$B$10:$B$15)),0)</f>
        <v>0</v>
      </c>
    </row>
    <row r="557" spans="1:20" x14ac:dyDescent="0.25">
      <c r="A557">
        <v>28662</v>
      </c>
      <c r="B557" t="s">
        <v>43</v>
      </c>
      <c r="C557" t="s">
        <v>38</v>
      </c>
      <c r="D557" s="11">
        <v>727</v>
      </c>
      <c r="E557">
        <v>260.85000000000002</v>
      </c>
      <c r="F557">
        <v>282</v>
      </c>
      <c r="G557">
        <f t="shared" si="56"/>
        <v>205014</v>
      </c>
      <c r="H557" t="s">
        <v>72</v>
      </c>
      <c r="J557" s="9">
        <v>45381</v>
      </c>
      <c r="K557" t="s">
        <v>40</v>
      </c>
      <c r="L557" t="s">
        <v>24</v>
      </c>
      <c r="M557" t="str">
        <f t="shared" si="57"/>
        <v>Public Sector</v>
      </c>
      <c r="N557" t="str">
        <f t="shared" si="58"/>
        <v>Small Order</v>
      </c>
      <c r="O557">
        <f t="shared" si="59"/>
        <v>0</v>
      </c>
      <c r="P557">
        <f t="shared" si="60"/>
        <v>0</v>
      </c>
      <c r="Q557" t="b">
        <f t="shared" si="61"/>
        <v>0</v>
      </c>
      <c r="R557">
        <f t="shared" si="62"/>
        <v>0</v>
      </c>
      <c r="S557" s="14">
        <f>_xlfn.XLOOKUP(B557,Summary!$C$10:$C$15,Summary!$B$10:$B$15)</f>
        <v>0.21</v>
      </c>
      <c r="T557">
        <f>IF(AND(H557="Yes",L557&lt;&gt;"Government"),G557*(_xlfn.XLOOKUP(B557,Summary!$C$10:$C$15,Summary!$B$10:$B$15)),0)</f>
        <v>0</v>
      </c>
    </row>
    <row r="558" spans="1:20" x14ac:dyDescent="0.25">
      <c r="A558">
        <v>86292</v>
      </c>
      <c r="B558" t="s">
        <v>27</v>
      </c>
      <c r="C558" t="s">
        <v>37</v>
      </c>
      <c r="D558" s="11">
        <v>360</v>
      </c>
      <c r="E558">
        <v>250.99</v>
      </c>
      <c r="F558">
        <v>374</v>
      </c>
      <c r="G558">
        <f t="shared" si="56"/>
        <v>134640</v>
      </c>
      <c r="H558" t="s">
        <v>72</v>
      </c>
      <c r="J558" s="9">
        <v>45786</v>
      </c>
      <c r="K558" t="s">
        <v>40</v>
      </c>
      <c r="L558" t="s">
        <v>24</v>
      </c>
      <c r="M558" t="str">
        <f t="shared" si="57"/>
        <v>Public Sector</v>
      </c>
      <c r="N558" t="str">
        <f t="shared" si="58"/>
        <v>Small Order</v>
      </c>
      <c r="O558">
        <f t="shared" si="59"/>
        <v>0</v>
      </c>
      <c r="P558">
        <f t="shared" si="60"/>
        <v>0</v>
      </c>
      <c r="Q558" t="b">
        <f t="shared" si="61"/>
        <v>0</v>
      </c>
      <c r="R558">
        <f t="shared" si="62"/>
        <v>0</v>
      </c>
      <c r="S558" s="14">
        <f>_xlfn.XLOOKUP(B558,Summary!$C$10:$C$15,Summary!$B$10:$B$15)</f>
        <v>0.19</v>
      </c>
      <c r="T558">
        <f>IF(AND(H558="Yes",L558&lt;&gt;"Government"),G558*(_xlfn.XLOOKUP(B558,Summary!$C$10:$C$15,Summary!$B$10:$B$15)),0)</f>
        <v>0</v>
      </c>
    </row>
    <row r="559" spans="1:20" x14ac:dyDescent="0.25">
      <c r="A559">
        <v>53415</v>
      </c>
      <c r="B559" t="s">
        <v>27</v>
      </c>
      <c r="C559" t="s">
        <v>37</v>
      </c>
      <c r="D559" s="11">
        <v>1531</v>
      </c>
      <c r="E559">
        <v>250.94</v>
      </c>
      <c r="F559">
        <v>251</v>
      </c>
      <c r="G559">
        <f t="shared" si="56"/>
        <v>384281</v>
      </c>
      <c r="H559" t="s">
        <v>72</v>
      </c>
      <c r="J559" s="9">
        <v>45573</v>
      </c>
      <c r="K559" t="s">
        <v>41</v>
      </c>
      <c r="L559" t="s">
        <v>24</v>
      </c>
      <c r="M559" t="str">
        <f t="shared" si="57"/>
        <v>Public Sector</v>
      </c>
      <c r="N559" t="str">
        <f t="shared" si="58"/>
        <v>Large Order</v>
      </c>
      <c r="O559">
        <f t="shared" si="59"/>
        <v>0</v>
      </c>
      <c r="P559">
        <f t="shared" si="60"/>
        <v>0</v>
      </c>
      <c r="Q559" t="b">
        <f t="shared" si="61"/>
        <v>0</v>
      </c>
      <c r="R559">
        <f t="shared" si="62"/>
        <v>0</v>
      </c>
      <c r="S559" s="14">
        <f>_xlfn.XLOOKUP(B559,Summary!$C$10:$C$15,Summary!$B$10:$B$15)</f>
        <v>0.19</v>
      </c>
      <c r="T559">
        <f>IF(AND(H559="Yes",L559&lt;&gt;"Government"),G559*(_xlfn.XLOOKUP(B559,Summary!$C$10:$C$15,Summary!$B$10:$B$15)),0)</f>
        <v>0</v>
      </c>
    </row>
    <row r="560" spans="1:20" x14ac:dyDescent="0.25">
      <c r="A560">
        <v>76766</v>
      </c>
      <c r="B560" t="s">
        <v>44</v>
      </c>
      <c r="C560" t="s">
        <v>25</v>
      </c>
      <c r="D560" s="11">
        <v>1496</v>
      </c>
      <c r="E560">
        <v>3.61</v>
      </c>
      <c r="F560">
        <v>4</v>
      </c>
      <c r="G560">
        <f t="shared" si="56"/>
        <v>5984</v>
      </c>
      <c r="H560" t="s">
        <v>72</v>
      </c>
      <c r="J560" s="9">
        <v>45455</v>
      </c>
      <c r="K560" t="s">
        <v>41</v>
      </c>
      <c r="L560" t="s">
        <v>34</v>
      </c>
      <c r="M560" t="str">
        <f t="shared" si="57"/>
        <v>Private Industry</v>
      </c>
      <c r="N560" t="str">
        <f t="shared" si="58"/>
        <v>Small Order</v>
      </c>
      <c r="O560">
        <f t="shared" si="59"/>
        <v>0</v>
      </c>
      <c r="P560">
        <f t="shared" si="60"/>
        <v>0</v>
      </c>
      <c r="Q560" t="b">
        <f t="shared" si="61"/>
        <v>0</v>
      </c>
      <c r="R560">
        <f t="shared" si="62"/>
        <v>0</v>
      </c>
      <c r="S560" s="14">
        <f>_xlfn.XLOOKUP(B560,Summary!$C$10:$C$15,Summary!$B$10:$B$15)</f>
        <v>0.2</v>
      </c>
      <c r="T560">
        <f>IF(AND(H560="Yes",L560&lt;&gt;"Government"),G560*(_xlfn.XLOOKUP(B560,Summary!$C$10:$C$15,Summary!$B$10:$B$15)),0)</f>
        <v>0</v>
      </c>
    </row>
    <row r="561" spans="1:20" x14ac:dyDescent="0.25">
      <c r="A561">
        <v>78772</v>
      </c>
      <c r="B561" t="s">
        <v>29</v>
      </c>
      <c r="C561" t="s">
        <v>37</v>
      </c>
      <c r="D561" s="11">
        <v>787</v>
      </c>
      <c r="E561">
        <v>250.99</v>
      </c>
      <c r="F561">
        <v>319</v>
      </c>
      <c r="G561">
        <f t="shared" si="56"/>
        <v>251053</v>
      </c>
      <c r="H561" t="s">
        <v>71</v>
      </c>
      <c r="J561" s="9">
        <v>45371</v>
      </c>
      <c r="K561" t="s">
        <v>39</v>
      </c>
      <c r="L561" t="s">
        <v>33</v>
      </c>
      <c r="M561" t="str">
        <f t="shared" si="57"/>
        <v>Private Industry</v>
      </c>
      <c r="N561" t="str">
        <f t="shared" si="58"/>
        <v>Small Order</v>
      </c>
      <c r="O561">
        <f t="shared" si="59"/>
        <v>57742.19</v>
      </c>
      <c r="P561">
        <f t="shared" si="60"/>
        <v>57742.19</v>
      </c>
      <c r="Q561" t="b">
        <f t="shared" si="61"/>
        <v>1</v>
      </c>
      <c r="R561">
        <f t="shared" si="62"/>
        <v>57742.19</v>
      </c>
      <c r="S561" s="14">
        <f>_xlfn.XLOOKUP(B561,Summary!$C$10:$C$15,Summary!$B$10:$B$15)</f>
        <v>0.22</v>
      </c>
      <c r="T561">
        <f>IF(AND(H561="Yes",L561&lt;&gt;"Government"),G561*(_xlfn.XLOOKUP(B561,Summary!$C$10:$C$15,Summary!$B$10:$B$15)),0)</f>
        <v>55231.66</v>
      </c>
    </row>
    <row r="562" spans="1:20" x14ac:dyDescent="0.25">
      <c r="A562">
        <v>60931</v>
      </c>
      <c r="B562" t="s">
        <v>44</v>
      </c>
      <c r="C562" t="s">
        <v>36</v>
      </c>
      <c r="D562" s="11">
        <v>1808</v>
      </c>
      <c r="E562">
        <v>120.82</v>
      </c>
      <c r="F562">
        <v>176</v>
      </c>
      <c r="G562">
        <f t="shared" si="56"/>
        <v>318208</v>
      </c>
      <c r="H562" t="s">
        <v>72</v>
      </c>
      <c r="J562" s="9">
        <v>45457</v>
      </c>
      <c r="K562" t="s">
        <v>41</v>
      </c>
      <c r="L562" t="s">
        <v>24</v>
      </c>
      <c r="M562" t="str">
        <f t="shared" si="57"/>
        <v>Public Sector</v>
      </c>
      <c r="N562" t="str">
        <f t="shared" si="58"/>
        <v>Large Order</v>
      </c>
      <c r="O562">
        <f t="shared" si="59"/>
        <v>0</v>
      </c>
      <c r="P562">
        <f t="shared" si="60"/>
        <v>0</v>
      </c>
      <c r="Q562" t="b">
        <f t="shared" si="61"/>
        <v>0</v>
      </c>
      <c r="R562">
        <f t="shared" si="62"/>
        <v>0</v>
      </c>
      <c r="S562" s="14">
        <f>_xlfn.XLOOKUP(B562,Summary!$C$10:$C$15,Summary!$B$10:$B$15)</f>
        <v>0.2</v>
      </c>
      <c r="T562">
        <f>IF(AND(H562="Yes",L562&lt;&gt;"Government"),G562*(_xlfn.XLOOKUP(B562,Summary!$C$10:$C$15,Summary!$B$10:$B$15)),0)</f>
        <v>0</v>
      </c>
    </row>
    <row r="563" spans="1:20" x14ac:dyDescent="0.25">
      <c r="A563">
        <v>71831</v>
      </c>
      <c r="B563" t="s">
        <v>27</v>
      </c>
      <c r="C563" t="s">
        <v>38</v>
      </c>
      <c r="D563" s="11">
        <v>2276</v>
      </c>
      <c r="E563">
        <v>260.39</v>
      </c>
      <c r="F563">
        <v>357</v>
      </c>
      <c r="G563">
        <f t="shared" si="56"/>
        <v>812532</v>
      </c>
      <c r="H563" t="s">
        <v>71</v>
      </c>
      <c r="J563" s="9">
        <v>45254</v>
      </c>
      <c r="K563" t="s">
        <v>39</v>
      </c>
      <c r="L563" t="s">
        <v>33</v>
      </c>
      <c r="M563" t="str">
        <f t="shared" si="57"/>
        <v>Private Industry</v>
      </c>
      <c r="N563" t="str">
        <f t="shared" si="58"/>
        <v>Large Order</v>
      </c>
      <c r="O563">
        <f t="shared" si="59"/>
        <v>186882.36000000002</v>
      </c>
      <c r="P563">
        <f t="shared" si="60"/>
        <v>186882.36000000002</v>
      </c>
      <c r="Q563" t="b">
        <f t="shared" si="61"/>
        <v>1</v>
      </c>
      <c r="R563">
        <f t="shared" si="62"/>
        <v>186882.36000000002</v>
      </c>
      <c r="S563" s="14">
        <f>_xlfn.XLOOKUP(B563,Summary!$C$10:$C$15,Summary!$B$10:$B$15)</f>
        <v>0.19</v>
      </c>
      <c r="T563">
        <f>IF(AND(H563="Yes",L563&lt;&gt;"Government"),G563*(_xlfn.XLOOKUP(B563,Summary!$C$10:$C$15,Summary!$B$10:$B$15)),0)</f>
        <v>154381.08000000002</v>
      </c>
    </row>
    <row r="564" spans="1:20" x14ac:dyDescent="0.25">
      <c r="A564">
        <v>26097</v>
      </c>
      <c r="B564" t="s">
        <v>42</v>
      </c>
      <c r="C564" t="s">
        <v>35</v>
      </c>
      <c r="D564" s="11">
        <v>2460</v>
      </c>
      <c r="E564">
        <v>10.59</v>
      </c>
      <c r="F564">
        <v>13</v>
      </c>
      <c r="G564">
        <f t="shared" si="56"/>
        <v>31980</v>
      </c>
      <c r="H564" t="s">
        <v>71</v>
      </c>
      <c r="J564" s="9">
        <v>45413</v>
      </c>
      <c r="K564" t="s">
        <v>40</v>
      </c>
      <c r="L564" t="s">
        <v>34</v>
      </c>
      <c r="M564" t="str">
        <f t="shared" si="57"/>
        <v>Private Industry</v>
      </c>
      <c r="N564" t="str">
        <f t="shared" si="58"/>
        <v>Large Order</v>
      </c>
      <c r="O564">
        <f t="shared" si="59"/>
        <v>7355.4000000000005</v>
      </c>
      <c r="P564">
        <f t="shared" si="60"/>
        <v>7355.4000000000005</v>
      </c>
      <c r="Q564" t="b">
        <f t="shared" si="61"/>
        <v>1</v>
      </c>
      <c r="R564">
        <f t="shared" si="62"/>
        <v>7355.4000000000005</v>
      </c>
      <c r="S564" s="14">
        <f>_xlfn.XLOOKUP(B564,Summary!$C$10:$C$15,Summary!$B$10:$B$15)</f>
        <v>0.24</v>
      </c>
      <c r="T564">
        <f>IF(AND(H564="Yes",L564&lt;&gt;"Government"),G564*(_xlfn.XLOOKUP(B564,Summary!$C$10:$C$15,Summary!$B$10:$B$15)),0)</f>
        <v>7675.2</v>
      </c>
    </row>
    <row r="565" spans="1:20" x14ac:dyDescent="0.25">
      <c r="A565">
        <v>18114</v>
      </c>
      <c r="B565" t="s">
        <v>43</v>
      </c>
      <c r="C565" t="s">
        <v>38</v>
      </c>
      <c r="D565" s="11">
        <v>3199</v>
      </c>
      <c r="E565">
        <v>260.85000000000002</v>
      </c>
      <c r="F565">
        <v>285</v>
      </c>
      <c r="G565">
        <f t="shared" si="56"/>
        <v>911715</v>
      </c>
      <c r="H565" t="s">
        <v>71</v>
      </c>
      <c r="J565" s="9">
        <v>45275</v>
      </c>
      <c r="K565" t="s">
        <v>41</v>
      </c>
      <c r="L565" t="s">
        <v>28</v>
      </c>
      <c r="M565" t="str">
        <f t="shared" si="57"/>
        <v>Private Industry</v>
      </c>
      <c r="N565" t="str">
        <f t="shared" si="58"/>
        <v>Large Order</v>
      </c>
      <c r="O565">
        <f t="shared" si="59"/>
        <v>209694.45</v>
      </c>
      <c r="P565">
        <f t="shared" si="60"/>
        <v>209694.45</v>
      </c>
      <c r="Q565" t="b">
        <f t="shared" si="61"/>
        <v>1</v>
      </c>
      <c r="R565">
        <f t="shared" si="62"/>
        <v>209694.45</v>
      </c>
      <c r="S565" s="14">
        <f>_xlfn.XLOOKUP(B565,Summary!$C$10:$C$15,Summary!$B$10:$B$15)</f>
        <v>0.21</v>
      </c>
      <c r="T565">
        <f>IF(AND(H565="Yes",L565&lt;&gt;"Government"),G565*(_xlfn.XLOOKUP(B565,Summary!$C$10:$C$15,Summary!$B$10:$B$15)),0)</f>
        <v>191460.15</v>
      </c>
    </row>
    <row r="566" spans="1:20" x14ac:dyDescent="0.25">
      <c r="A566">
        <v>19630</v>
      </c>
      <c r="B566" t="s">
        <v>27</v>
      </c>
      <c r="C566" t="s">
        <v>37</v>
      </c>
      <c r="D566" s="11">
        <v>2838</v>
      </c>
      <c r="E566">
        <v>250.7</v>
      </c>
      <c r="F566">
        <v>281</v>
      </c>
      <c r="G566">
        <f t="shared" si="56"/>
        <v>797478</v>
      </c>
      <c r="H566" t="s">
        <v>71</v>
      </c>
      <c r="J566" s="9">
        <v>45215</v>
      </c>
      <c r="K566" t="s">
        <v>26</v>
      </c>
      <c r="L566" t="s">
        <v>31</v>
      </c>
      <c r="M566" t="str">
        <f t="shared" si="57"/>
        <v>Private Industry</v>
      </c>
      <c r="N566" t="str">
        <f t="shared" si="58"/>
        <v>Large Order</v>
      </c>
      <c r="O566">
        <f t="shared" si="59"/>
        <v>183419.94</v>
      </c>
      <c r="P566">
        <f t="shared" si="60"/>
        <v>183419.94</v>
      </c>
      <c r="Q566" t="b">
        <f t="shared" si="61"/>
        <v>1</v>
      </c>
      <c r="R566">
        <f t="shared" si="62"/>
        <v>183419.94</v>
      </c>
      <c r="S566" s="14">
        <f>_xlfn.XLOOKUP(B566,Summary!$C$10:$C$15,Summary!$B$10:$B$15)</f>
        <v>0.19</v>
      </c>
      <c r="T566">
        <f>IF(AND(H566="Yes",L566&lt;&gt;"Government"),G566*(_xlfn.XLOOKUP(B566,Summary!$C$10:$C$15,Summary!$B$10:$B$15)),0)</f>
        <v>151520.82</v>
      </c>
    </row>
    <row r="567" spans="1:20" x14ac:dyDescent="0.25">
      <c r="A567">
        <v>99081</v>
      </c>
      <c r="B567" t="s">
        <v>27</v>
      </c>
      <c r="C567" t="s">
        <v>36</v>
      </c>
      <c r="D567" s="11">
        <v>1530</v>
      </c>
      <c r="E567">
        <v>120.55</v>
      </c>
      <c r="F567">
        <v>157</v>
      </c>
      <c r="G567">
        <f t="shared" si="56"/>
        <v>240210</v>
      </c>
      <c r="H567" t="s">
        <v>72</v>
      </c>
      <c r="J567" s="9">
        <v>45589</v>
      </c>
      <c r="K567" t="s">
        <v>40</v>
      </c>
      <c r="L567" t="s">
        <v>28</v>
      </c>
      <c r="M567" t="str">
        <f t="shared" si="57"/>
        <v>Private Industry</v>
      </c>
      <c r="N567" t="str">
        <f t="shared" si="58"/>
        <v>Large Order</v>
      </c>
      <c r="O567">
        <f t="shared" si="59"/>
        <v>0</v>
      </c>
      <c r="P567">
        <f t="shared" si="60"/>
        <v>0</v>
      </c>
      <c r="Q567" t="b">
        <f t="shared" si="61"/>
        <v>0</v>
      </c>
      <c r="R567">
        <f t="shared" si="62"/>
        <v>0</v>
      </c>
      <c r="S567" s="14">
        <f>_xlfn.XLOOKUP(B567,Summary!$C$10:$C$15,Summary!$B$10:$B$15)</f>
        <v>0.19</v>
      </c>
      <c r="T567">
        <f>IF(AND(H567="Yes",L567&lt;&gt;"Government"),G567*(_xlfn.XLOOKUP(B567,Summary!$C$10:$C$15,Summary!$B$10:$B$15)),0)</f>
        <v>0</v>
      </c>
    </row>
    <row r="568" spans="1:20" x14ac:dyDescent="0.25">
      <c r="A568">
        <v>89732</v>
      </c>
      <c r="B568" t="s">
        <v>32</v>
      </c>
      <c r="C568" t="s">
        <v>30</v>
      </c>
      <c r="D568" s="11">
        <v>2342</v>
      </c>
      <c r="E568">
        <v>5.53</v>
      </c>
      <c r="F568">
        <v>6</v>
      </c>
      <c r="G568">
        <f t="shared" si="56"/>
        <v>14052</v>
      </c>
      <c r="H568" t="s">
        <v>72</v>
      </c>
      <c r="J568" s="9">
        <v>45116</v>
      </c>
      <c r="K568" t="s">
        <v>40</v>
      </c>
      <c r="L568" t="s">
        <v>31</v>
      </c>
      <c r="M568" t="str">
        <f t="shared" si="57"/>
        <v>Private Industry</v>
      </c>
      <c r="N568" t="str">
        <f t="shared" si="58"/>
        <v>Large Order</v>
      </c>
      <c r="O568">
        <f t="shared" si="59"/>
        <v>0</v>
      </c>
      <c r="P568">
        <f t="shared" si="60"/>
        <v>0</v>
      </c>
      <c r="Q568" t="b">
        <f t="shared" si="61"/>
        <v>0</v>
      </c>
      <c r="R568">
        <f t="shared" si="62"/>
        <v>0</v>
      </c>
      <c r="S568" s="14">
        <f>_xlfn.XLOOKUP(B568,Summary!$C$10:$C$15,Summary!$B$10:$B$15)</f>
        <v>0.23</v>
      </c>
      <c r="T568">
        <f>IF(AND(H568="Yes",L568&lt;&gt;"Government"),G568*(_xlfn.XLOOKUP(B568,Summary!$C$10:$C$15,Summary!$B$10:$B$15)),0)</f>
        <v>0</v>
      </c>
    </row>
    <row r="569" spans="1:20" x14ac:dyDescent="0.25">
      <c r="A569">
        <v>12028</v>
      </c>
      <c r="B569" t="s">
        <v>32</v>
      </c>
      <c r="C569" t="s">
        <v>30</v>
      </c>
      <c r="D569" s="11">
        <v>1100</v>
      </c>
      <c r="E569">
        <v>5.51</v>
      </c>
      <c r="F569">
        <v>8</v>
      </c>
      <c r="G569">
        <f t="shared" si="56"/>
        <v>8800</v>
      </c>
      <c r="H569" t="s">
        <v>71</v>
      </c>
      <c r="J569" s="9">
        <v>45406</v>
      </c>
      <c r="K569" t="s">
        <v>40</v>
      </c>
      <c r="L569" t="s">
        <v>34</v>
      </c>
      <c r="M569" t="str">
        <f t="shared" si="57"/>
        <v>Private Industry</v>
      </c>
      <c r="N569" t="str">
        <f t="shared" si="58"/>
        <v>Small Order</v>
      </c>
      <c r="O569">
        <f t="shared" si="59"/>
        <v>2024</v>
      </c>
      <c r="P569">
        <f t="shared" si="60"/>
        <v>2024</v>
      </c>
      <c r="Q569" t="b">
        <f t="shared" si="61"/>
        <v>1</v>
      </c>
      <c r="R569">
        <f t="shared" si="62"/>
        <v>2024</v>
      </c>
      <c r="S569" s="14">
        <f>_xlfn.XLOOKUP(B569,Summary!$C$10:$C$15,Summary!$B$10:$B$15)</f>
        <v>0.23</v>
      </c>
      <c r="T569">
        <f>IF(AND(H569="Yes",L569&lt;&gt;"Government"),G569*(_xlfn.XLOOKUP(B569,Summary!$C$10:$C$15,Summary!$B$10:$B$15)),0)</f>
        <v>2024</v>
      </c>
    </row>
    <row r="570" spans="1:20" x14ac:dyDescent="0.25">
      <c r="A570">
        <v>47627</v>
      </c>
      <c r="B570" t="s">
        <v>44</v>
      </c>
      <c r="C570" t="s">
        <v>30</v>
      </c>
      <c r="D570" s="11">
        <v>2227</v>
      </c>
      <c r="E570">
        <v>5.84</v>
      </c>
      <c r="F570">
        <v>7</v>
      </c>
      <c r="G570">
        <f t="shared" si="56"/>
        <v>15589</v>
      </c>
      <c r="H570" t="s">
        <v>71</v>
      </c>
      <c r="J570" s="9">
        <v>45212</v>
      </c>
      <c r="K570" t="s">
        <v>41</v>
      </c>
      <c r="L570" t="s">
        <v>24</v>
      </c>
      <c r="M570" t="str">
        <f t="shared" si="57"/>
        <v>Public Sector</v>
      </c>
      <c r="N570" t="str">
        <f t="shared" si="58"/>
        <v>Large Order</v>
      </c>
      <c r="O570">
        <f t="shared" si="59"/>
        <v>3585.4700000000003</v>
      </c>
      <c r="P570">
        <f t="shared" si="60"/>
        <v>0</v>
      </c>
      <c r="Q570" t="b">
        <f t="shared" si="61"/>
        <v>0</v>
      </c>
      <c r="R570">
        <f t="shared" si="62"/>
        <v>0</v>
      </c>
      <c r="S570" s="14">
        <f>_xlfn.XLOOKUP(B570,Summary!$C$10:$C$15,Summary!$B$10:$B$15)</f>
        <v>0.2</v>
      </c>
      <c r="T570">
        <f>IF(AND(H570="Yes",L570&lt;&gt;"Government"),G570*(_xlfn.XLOOKUP(B570,Summary!$C$10:$C$15,Summary!$B$10:$B$15)),0)</f>
        <v>0</v>
      </c>
    </row>
    <row r="571" spans="1:20" x14ac:dyDescent="0.25">
      <c r="A571">
        <v>16538</v>
      </c>
      <c r="B571" t="s">
        <v>32</v>
      </c>
      <c r="C571" t="s">
        <v>38</v>
      </c>
      <c r="D571" s="11">
        <v>1372</v>
      </c>
      <c r="E571">
        <v>260.05</v>
      </c>
      <c r="F571">
        <v>300</v>
      </c>
      <c r="G571">
        <f t="shared" si="56"/>
        <v>411600</v>
      </c>
      <c r="H571" t="s">
        <v>72</v>
      </c>
      <c r="J571" s="9">
        <v>45572</v>
      </c>
      <c r="K571" t="s">
        <v>40</v>
      </c>
      <c r="L571" t="s">
        <v>34</v>
      </c>
      <c r="M571" t="str">
        <f t="shared" si="57"/>
        <v>Private Industry</v>
      </c>
      <c r="N571" t="str">
        <f t="shared" si="58"/>
        <v>Small Order</v>
      </c>
      <c r="O571">
        <f t="shared" si="59"/>
        <v>0</v>
      </c>
      <c r="P571">
        <f t="shared" si="60"/>
        <v>0</v>
      </c>
      <c r="Q571" t="b">
        <f t="shared" si="61"/>
        <v>0</v>
      </c>
      <c r="R571">
        <f t="shared" si="62"/>
        <v>0</v>
      </c>
      <c r="S571" s="14">
        <f>_xlfn.XLOOKUP(B571,Summary!$C$10:$C$15,Summary!$B$10:$B$15)</f>
        <v>0.23</v>
      </c>
      <c r="T571">
        <f>IF(AND(H571="Yes",L571&lt;&gt;"Government"),G571*(_xlfn.XLOOKUP(B571,Summary!$C$10:$C$15,Summary!$B$10:$B$15)),0)</f>
        <v>0</v>
      </c>
    </row>
    <row r="572" spans="1:20" x14ac:dyDescent="0.25">
      <c r="A572">
        <v>63021</v>
      </c>
      <c r="B572" t="s">
        <v>27</v>
      </c>
      <c r="C572" t="s">
        <v>36</v>
      </c>
      <c r="D572" s="11">
        <v>2161</v>
      </c>
      <c r="E572">
        <v>120.14</v>
      </c>
      <c r="F572">
        <v>159</v>
      </c>
      <c r="G572">
        <f t="shared" si="56"/>
        <v>343599</v>
      </c>
      <c r="H572" t="s">
        <v>72</v>
      </c>
      <c r="J572" s="9">
        <v>45718</v>
      </c>
      <c r="K572" t="s">
        <v>26</v>
      </c>
      <c r="L572" t="s">
        <v>31</v>
      </c>
      <c r="M572" t="str">
        <f t="shared" si="57"/>
        <v>Private Industry</v>
      </c>
      <c r="N572" t="str">
        <f t="shared" si="58"/>
        <v>Large Order</v>
      </c>
      <c r="O572">
        <f t="shared" si="59"/>
        <v>0</v>
      </c>
      <c r="P572">
        <f t="shared" si="60"/>
        <v>0</v>
      </c>
      <c r="Q572" t="b">
        <f t="shared" si="61"/>
        <v>0</v>
      </c>
      <c r="R572">
        <f t="shared" si="62"/>
        <v>0</v>
      </c>
      <c r="S572" s="14">
        <f>_xlfn.XLOOKUP(B572,Summary!$C$10:$C$15,Summary!$B$10:$B$15)</f>
        <v>0.19</v>
      </c>
      <c r="T572">
        <f>IF(AND(H572="Yes",L572&lt;&gt;"Government"),G572*(_xlfn.XLOOKUP(B572,Summary!$C$10:$C$15,Summary!$B$10:$B$15)),0)</f>
        <v>0</v>
      </c>
    </row>
    <row r="573" spans="1:20" x14ac:dyDescent="0.25">
      <c r="A573">
        <v>45002</v>
      </c>
      <c r="B573" t="s">
        <v>32</v>
      </c>
      <c r="C573" t="s">
        <v>36</v>
      </c>
      <c r="D573" s="11">
        <v>1579</v>
      </c>
      <c r="E573">
        <v>120.95</v>
      </c>
      <c r="F573">
        <v>148</v>
      </c>
      <c r="G573">
        <f t="shared" si="56"/>
        <v>233692</v>
      </c>
      <c r="H573" t="s">
        <v>72</v>
      </c>
      <c r="J573" s="9">
        <v>45087</v>
      </c>
      <c r="K573" t="s">
        <v>40</v>
      </c>
      <c r="L573" t="s">
        <v>24</v>
      </c>
      <c r="M573" t="str">
        <f t="shared" si="57"/>
        <v>Public Sector</v>
      </c>
      <c r="N573" t="str">
        <f t="shared" si="58"/>
        <v>Large Order</v>
      </c>
      <c r="O573">
        <f t="shared" si="59"/>
        <v>0</v>
      </c>
      <c r="P573">
        <f t="shared" si="60"/>
        <v>0</v>
      </c>
      <c r="Q573" t="b">
        <f t="shared" si="61"/>
        <v>0</v>
      </c>
      <c r="R573">
        <f t="shared" si="62"/>
        <v>0</v>
      </c>
      <c r="S573" s="14">
        <f>_xlfn.XLOOKUP(B573,Summary!$C$10:$C$15,Summary!$B$10:$B$15)</f>
        <v>0.23</v>
      </c>
      <c r="T573">
        <f>IF(AND(H573="Yes",L573&lt;&gt;"Government"),G573*(_xlfn.XLOOKUP(B573,Summary!$C$10:$C$15,Summary!$B$10:$B$15)),0)</f>
        <v>0</v>
      </c>
    </row>
    <row r="574" spans="1:20" x14ac:dyDescent="0.25">
      <c r="A574">
        <v>58190</v>
      </c>
      <c r="B574" t="s">
        <v>27</v>
      </c>
      <c r="C574" t="s">
        <v>36</v>
      </c>
      <c r="D574" s="11">
        <v>1001</v>
      </c>
      <c r="E574">
        <v>120.96</v>
      </c>
      <c r="F574">
        <v>142</v>
      </c>
      <c r="G574">
        <f t="shared" si="56"/>
        <v>142142</v>
      </c>
      <c r="H574" t="s">
        <v>71</v>
      </c>
      <c r="J574" s="9">
        <v>45716</v>
      </c>
      <c r="K574" t="s">
        <v>40</v>
      </c>
      <c r="L574" t="s">
        <v>24</v>
      </c>
      <c r="M574" t="str">
        <f t="shared" si="57"/>
        <v>Public Sector</v>
      </c>
      <c r="N574" t="str">
        <f t="shared" si="58"/>
        <v>Small Order</v>
      </c>
      <c r="O574">
        <f t="shared" si="59"/>
        <v>32692.66</v>
      </c>
      <c r="P574">
        <f t="shared" si="60"/>
        <v>0</v>
      </c>
      <c r="Q574" t="b">
        <f t="shared" si="61"/>
        <v>0</v>
      </c>
      <c r="R574">
        <f t="shared" si="62"/>
        <v>0</v>
      </c>
      <c r="S574" s="14">
        <f>_xlfn.XLOOKUP(B574,Summary!$C$10:$C$15,Summary!$B$10:$B$15)</f>
        <v>0.19</v>
      </c>
      <c r="T574">
        <f>IF(AND(H574="Yes",L574&lt;&gt;"Government"),G574*(_xlfn.XLOOKUP(B574,Summary!$C$10:$C$15,Summary!$B$10:$B$15)),0)</f>
        <v>0</v>
      </c>
    </row>
    <row r="575" spans="1:20" x14ac:dyDescent="0.25">
      <c r="A575">
        <v>89186</v>
      </c>
      <c r="B575" t="s">
        <v>29</v>
      </c>
      <c r="C575" t="s">
        <v>38</v>
      </c>
      <c r="D575" s="11">
        <v>2475</v>
      </c>
      <c r="E575">
        <v>260.82</v>
      </c>
      <c r="F575">
        <v>269</v>
      </c>
      <c r="G575">
        <f t="shared" si="56"/>
        <v>665775</v>
      </c>
      <c r="H575" t="s">
        <v>71</v>
      </c>
      <c r="J575" s="9">
        <v>45112</v>
      </c>
      <c r="K575" t="s">
        <v>41</v>
      </c>
      <c r="L575" t="s">
        <v>31</v>
      </c>
      <c r="M575" t="str">
        <f t="shared" si="57"/>
        <v>Private Industry</v>
      </c>
      <c r="N575" t="str">
        <f t="shared" si="58"/>
        <v>Large Order</v>
      </c>
      <c r="O575">
        <f t="shared" si="59"/>
        <v>153128.25</v>
      </c>
      <c r="P575">
        <f t="shared" si="60"/>
        <v>153128.25</v>
      </c>
      <c r="Q575" t="b">
        <f t="shared" si="61"/>
        <v>1</v>
      </c>
      <c r="R575">
        <f t="shared" si="62"/>
        <v>153128.25</v>
      </c>
      <c r="S575" s="14">
        <f>_xlfn.XLOOKUP(B575,Summary!$C$10:$C$15,Summary!$B$10:$B$15)</f>
        <v>0.22</v>
      </c>
      <c r="T575">
        <f>IF(AND(H575="Yes",L575&lt;&gt;"Government"),G575*(_xlfn.XLOOKUP(B575,Summary!$C$10:$C$15,Summary!$B$10:$B$15)),0)</f>
        <v>146470.5</v>
      </c>
    </row>
    <row r="576" spans="1:20" x14ac:dyDescent="0.25">
      <c r="A576">
        <v>63822</v>
      </c>
      <c r="B576" t="s">
        <v>32</v>
      </c>
      <c r="C576" t="s">
        <v>35</v>
      </c>
      <c r="D576" s="11">
        <v>360</v>
      </c>
      <c r="E576">
        <v>10.62</v>
      </c>
      <c r="F576">
        <v>12</v>
      </c>
      <c r="G576">
        <f t="shared" si="56"/>
        <v>4320</v>
      </c>
      <c r="H576" t="s">
        <v>71</v>
      </c>
      <c r="J576" s="9">
        <v>45550</v>
      </c>
      <c r="K576" t="s">
        <v>40</v>
      </c>
      <c r="L576" t="s">
        <v>24</v>
      </c>
      <c r="M576" t="str">
        <f t="shared" si="57"/>
        <v>Public Sector</v>
      </c>
      <c r="N576" t="str">
        <f t="shared" si="58"/>
        <v>Small Order</v>
      </c>
      <c r="O576">
        <f t="shared" si="59"/>
        <v>993.6</v>
      </c>
      <c r="P576">
        <f t="shared" si="60"/>
        <v>0</v>
      </c>
      <c r="Q576" t="b">
        <f t="shared" si="61"/>
        <v>0</v>
      </c>
      <c r="R576">
        <f t="shared" si="62"/>
        <v>0</v>
      </c>
      <c r="S576" s="14">
        <f>_xlfn.XLOOKUP(B576,Summary!$C$10:$C$15,Summary!$B$10:$B$15)</f>
        <v>0.23</v>
      </c>
      <c r="T576">
        <f>IF(AND(H576="Yes",L576&lt;&gt;"Government"),G576*(_xlfn.XLOOKUP(B576,Summary!$C$10:$C$15,Summary!$B$10:$B$15)),0)</f>
        <v>0</v>
      </c>
    </row>
    <row r="577" spans="1:20" x14ac:dyDescent="0.25">
      <c r="A577">
        <v>52964</v>
      </c>
      <c r="B577" t="s">
        <v>44</v>
      </c>
      <c r="C577" t="s">
        <v>35</v>
      </c>
      <c r="D577" s="11">
        <v>1702</v>
      </c>
      <c r="E577">
        <v>10.36</v>
      </c>
      <c r="F577">
        <v>15</v>
      </c>
      <c r="G577">
        <f t="shared" si="56"/>
        <v>25530</v>
      </c>
      <c r="H577" t="s">
        <v>71</v>
      </c>
      <c r="J577" s="9">
        <v>45643</v>
      </c>
      <c r="K577" t="s">
        <v>40</v>
      </c>
      <c r="L577" t="s">
        <v>34</v>
      </c>
      <c r="M577" t="str">
        <f t="shared" si="57"/>
        <v>Private Industry</v>
      </c>
      <c r="N577" t="str">
        <f t="shared" si="58"/>
        <v>Large Order</v>
      </c>
      <c r="O577">
        <f t="shared" si="59"/>
        <v>5871.9000000000005</v>
      </c>
      <c r="P577">
        <f t="shared" si="60"/>
        <v>5871.9000000000005</v>
      </c>
      <c r="Q577" t="b">
        <f t="shared" si="61"/>
        <v>1</v>
      </c>
      <c r="R577">
        <f t="shared" si="62"/>
        <v>5871.9000000000005</v>
      </c>
      <c r="S577" s="14">
        <f>_xlfn.XLOOKUP(B577,Summary!$C$10:$C$15,Summary!$B$10:$B$15)</f>
        <v>0.2</v>
      </c>
      <c r="T577">
        <f>IF(AND(H577="Yes",L577&lt;&gt;"Government"),G577*(_xlfn.XLOOKUP(B577,Summary!$C$10:$C$15,Summary!$B$10:$B$15)),0)</f>
        <v>5106</v>
      </c>
    </row>
    <row r="578" spans="1:20" x14ac:dyDescent="0.25">
      <c r="A578">
        <v>89606</v>
      </c>
      <c r="B578" t="s">
        <v>27</v>
      </c>
      <c r="C578" t="s">
        <v>30</v>
      </c>
      <c r="D578" s="11">
        <v>766</v>
      </c>
      <c r="E578">
        <v>5.18</v>
      </c>
      <c r="F578">
        <v>7</v>
      </c>
      <c r="G578">
        <f t="shared" si="56"/>
        <v>5362</v>
      </c>
      <c r="H578" t="s">
        <v>72</v>
      </c>
      <c r="J578" s="9">
        <v>45537</v>
      </c>
      <c r="K578" t="s">
        <v>41</v>
      </c>
      <c r="L578" t="s">
        <v>24</v>
      </c>
      <c r="M578" t="str">
        <f t="shared" si="57"/>
        <v>Public Sector</v>
      </c>
      <c r="N578" t="str">
        <f t="shared" si="58"/>
        <v>Small Order</v>
      </c>
      <c r="O578">
        <f t="shared" si="59"/>
        <v>0</v>
      </c>
      <c r="P578">
        <f t="shared" si="60"/>
        <v>0</v>
      </c>
      <c r="Q578" t="b">
        <f t="shared" si="61"/>
        <v>0</v>
      </c>
      <c r="R578">
        <f t="shared" si="62"/>
        <v>0</v>
      </c>
      <c r="S578" s="14">
        <f>_xlfn.XLOOKUP(B578,Summary!$C$10:$C$15,Summary!$B$10:$B$15)</f>
        <v>0.19</v>
      </c>
      <c r="T578">
        <f>IF(AND(H578="Yes",L578&lt;&gt;"Government"),G578*(_xlfn.XLOOKUP(B578,Summary!$C$10:$C$15,Summary!$B$10:$B$15)),0)</f>
        <v>0</v>
      </c>
    </row>
    <row r="579" spans="1:20" x14ac:dyDescent="0.25">
      <c r="A579">
        <v>96724</v>
      </c>
      <c r="B579" t="s">
        <v>42</v>
      </c>
      <c r="C579" t="s">
        <v>35</v>
      </c>
      <c r="D579" s="11">
        <v>1984</v>
      </c>
      <c r="E579">
        <v>10.35</v>
      </c>
      <c r="F579">
        <v>16</v>
      </c>
      <c r="G579">
        <f t="shared" ref="G579:G642" si="63">D579*F579</f>
        <v>31744</v>
      </c>
      <c r="H579" t="s">
        <v>71</v>
      </c>
      <c r="J579" s="9">
        <v>45640</v>
      </c>
      <c r="K579" t="s">
        <v>41</v>
      </c>
      <c r="L579" t="s">
        <v>28</v>
      </c>
      <c r="M579" t="str">
        <f t="shared" ref="M579:M642" si="64">IF(L579="Government","Public Sector","Private Industry")</f>
        <v>Private Industry</v>
      </c>
      <c r="N579" t="str">
        <f t="shared" ref="N579:N642" si="65">IF(D579&gt;1500,"Large Order","Small Order")</f>
        <v>Large Order</v>
      </c>
      <c r="O579">
        <f t="shared" ref="O579:O642" si="66">IF(H579="Yes",G579*0.23,0)</f>
        <v>7301.12</v>
      </c>
      <c r="P579">
        <f t="shared" ref="P579:P642" si="67">IF(Q579,G579*0.23,0)</f>
        <v>7301.12</v>
      </c>
      <c r="Q579" t="b">
        <f t="shared" ref="Q579:Q642" si="68">AND(H579="Yes",L579&lt;&gt;"Government")</f>
        <v>1</v>
      </c>
      <c r="R579">
        <f t="shared" ref="R579:R642" si="69">IF(AND(H579="Yes",L579&lt;&gt;"Government"),G579*0.23,0)</f>
        <v>7301.12</v>
      </c>
      <c r="S579" s="14">
        <f>_xlfn.XLOOKUP(B579,Summary!$C$10:$C$15,Summary!$B$10:$B$15)</f>
        <v>0.24</v>
      </c>
      <c r="T579">
        <f>IF(AND(H579="Yes",L579&lt;&gt;"Government"),G579*(_xlfn.XLOOKUP(B579,Summary!$C$10:$C$15,Summary!$B$10:$B$15)),0)</f>
        <v>7618.5599999999995</v>
      </c>
    </row>
    <row r="580" spans="1:20" x14ac:dyDescent="0.25">
      <c r="A580">
        <v>52906</v>
      </c>
      <c r="B580" t="s">
        <v>29</v>
      </c>
      <c r="C580" t="s">
        <v>37</v>
      </c>
      <c r="D580" s="11">
        <v>2682</v>
      </c>
      <c r="E580">
        <v>250.87</v>
      </c>
      <c r="F580">
        <v>259</v>
      </c>
      <c r="G580">
        <f t="shared" si="63"/>
        <v>694638</v>
      </c>
      <c r="H580" t="s">
        <v>72</v>
      </c>
      <c r="J580" s="9">
        <v>45075</v>
      </c>
      <c r="K580" t="s">
        <v>40</v>
      </c>
      <c r="L580" t="s">
        <v>24</v>
      </c>
      <c r="M580" t="str">
        <f t="shared" si="64"/>
        <v>Public Sector</v>
      </c>
      <c r="N580" t="str">
        <f t="shared" si="65"/>
        <v>Large Order</v>
      </c>
      <c r="O580">
        <f t="shared" si="66"/>
        <v>0</v>
      </c>
      <c r="P580">
        <f t="shared" si="67"/>
        <v>0</v>
      </c>
      <c r="Q580" t="b">
        <f t="shared" si="68"/>
        <v>0</v>
      </c>
      <c r="R580">
        <f t="shared" si="69"/>
        <v>0</v>
      </c>
      <c r="S580" s="14">
        <f>_xlfn.XLOOKUP(B580,Summary!$C$10:$C$15,Summary!$B$10:$B$15)</f>
        <v>0.22</v>
      </c>
      <c r="T580">
        <f>IF(AND(H580="Yes",L580&lt;&gt;"Government"),G580*(_xlfn.XLOOKUP(B580,Summary!$C$10:$C$15,Summary!$B$10:$B$15)),0)</f>
        <v>0</v>
      </c>
    </row>
    <row r="581" spans="1:20" x14ac:dyDescent="0.25">
      <c r="A581">
        <v>38625</v>
      </c>
      <c r="B581" t="s">
        <v>27</v>
      </c>
      <c r="C581" t="s">
        <v>36</v>
      </c>
      <c r="D581" s="11">
        <v>2087</v>
      </c>
      <c r="E581">
        <v>120.47</v>
      </c>
      <c r="F581">
        <v>147</v>
      </c>
      <c r="G581">
        <f t="shared" si="63"/>
        <v>306789</v>
      </c>
      <c r="H581" t="s">
        <v>72</v>
      </c>
      <c r="J581" s="9">
        <v>45326</v>
      </c>
      <c r="K581" t="s">
        <v>40</v>
      </c>
      <c r="L581" t="s">
        <v>33</v>
      </c>
      <c r="M581" t="str">
        <f t="shared" si="64"/>
        <v>Private Industry</v>
      </c>
      <c r="N581" t="str">
        <f t="shared" si="65"/>
        <v>Large Order</v>
      </c>
      <c r="O581">
        <f t="shared" si="66"/>
        <v>0</v>
      </c>
      <c r="P581">
        <f t="shared" si="67"/>
        <v>0</v>
      </c>
      <c r="Q581" t="b">
        <f t="shared" si="68"/>
        <v>0</v>
      </c>
      <c r="R581">
        <f t="shared" si="69"/>
        <v>0</v>
      </c>
      <c r="S581" s="14">
        <f>_xlfn.XLOOKUP(B581,Summary!$C$10:$C$15,Summary!$B$10:$B$15)</f>
        <v>0.19</v>
      </c>
      <c r="T581">
        <f>IF(AND(H581="Yes",L581&lt;&gt;"Government"),G581*(_xlfn.XLOOKUP(B581,Summary!$C$10:$C$15,Summary!$B$10:$B$15)),0)</f>
        <v>0</v>
      </c>
    </row>
    <row r="582" spans="1:20" x14ac:dyDescent="0.25">
      <c r="A582">
        <v>74082</v>
      </c>
      <c r="B582" t="s">
        <v>42</v>
      </c>
      <c r="C582" t="s">
        <v>37</v>
      </c>
      <c r="D582" s="11">
        <v>521</v>
      </c>
      <c r="E582">
        <v>250.98</v>
      </c>
      <c r="F582">
        <v>307</v>
      </c>
      <c r="G582">
        <f t="shared" si="63"/>
        <v>159947</v>
      </c>
      <c r="H582" t="s">
        <v>71</v>
      </c>
      <c r="J582" s="9">
        <v>45535</v>
      </c>
      <c r="K582" t="s">
        <v>40</v>
      </c>
      <c r="L582" t="s">
        <v>24</v>
      </c>
      <c r="M582" t="str">
        <f t="shared" si="64"/>
        <v>Public Sector</v>
      </c>
      <c r="N582" t="str">
        <f t="shared" si="65"/>
        <v>Small Order</v>
      </c>
      <c r="O582">
        <f t="shared" si="66"/>
        <v>36787.810000000005</v>
      </c>
      <c r="P582">
        <f t="shared" si="67"/>
        <v>0</v>
      </c>
      <c r="Q582" t="b">
        <f t="shared" si="68"/>
        <v>0</v>
      </c>
      <c r="R582">
        <f t="shared" si="69"/>
        <v>0</v>
      </c>
      <c r="S582" s="14">
        <f>_xlfn.XLOOKUP(B582,Summary!$C$10:$C$15,Summary!$B$10:$B$15)</f>
        <v>0.24</v>
      </c>
      <c r="T582">
        <f>IF(AND(H582="Yes",L582&lt;&gt;"Government"),G582*(_xlfn.XLOOKUP(B582,Summary!$C$10:$C$15,Summary!$B$10:$B$15)),0)</f>
        <v>0</v>
      </c>
    </row>
    <row r="583" spans="1:20" x14ac:dyDescent="0.25">
      <c r="A583">
        <v>66218</v>
      </c>
      <c r="B583" t="s">
        <v>42</v>
      </c>
      <c r="C583" t="s">
        <v>36</v>
      </c>
      <c r="D583" s="11">
        <v>1084</v>
      </c>
      <c r="E583">
        <v>120.44</v>
      </c>
      <c r="F583">
        <v>131</v>
      </c>
      <c r="G583">
        <f t="shared" si="63"/>
        <v>142004</v>
      </c>
      <c r="H583" t="s">
        <v>71</v>
      </c>
      <c r="J583" s="9">
        <v>45093</v>
      </c>
      <c r="K583" t="s">
        <v>39</v>
      </c>
      <c r="L583" t="s">
        <v>31</v>
      </c>
      <c r="M583" t="str">
        <f t="shared" si="64"/>
        <v>Private Industry</v>
      </c>
      <c r="N583" t="str">
        <f t="shared" si="65"/>
        <v>Small Order</v>
      </c>
      <c r="O583">
        <f t="shared" si="66"/>
        <v>32660.920000000002</v>
      </c>
      <c r="P583">
        <f t="shared" si="67"/>
        <v>32660.920000000002</v>
      </c>
      <c r="Q583" t="b">
        <f t="shared" si="68"/>
        <v>1</v>
      </c>
      <c r="R583">
        <f t="shared" si="69"/>
        <v>32660.920000000002</v>
      </c>
      <c r="S583" s="14">
        <f>_xlfn.XLOOKUP(B583,Summary!$C$10:$C$15,Summary!$B$10:$B$15)</f>
        <v>0.24</v>
      </c>
      <c r="T583">
        <f>IF(AND(H583="Yes",L583&lt;&gt;"Government"),G583*(_xlfn.XLOOKUP(B583,Summary!$C$10:$C$15,Summary!$B$10:$B$15)),0)</f>
        <v>34080.959999999999</v>
      </c>
    </row>
    <row r="584" spans="1:20" x14ac:dyDescent="0.25">
      <c r="A584">
        <v>45131</v>
      </c>
      <c r="B584" t="s">
        <v>43</v>
      </c>
      <c r="C584" t="s">
        <v>37</v>
      </c>
      <c r="D584" s="11">
        <v>808</v>
      </c>
      <c r="E584">
        <v>250.34</v>
      </c>
      <c r="F584">
        <v>366</v>
      </c>
      <c r="G584">
        <f t="shared" si="63"/>
        <v>295728</v>
      </c>
      <c r="H584" t="s">
        <v>71</v>
      </c>
      <c r="J584" s="9">
        <v>45177</v>
      </c>
      <c r="K584" t="s">
        <v>40</v>
      </c>
      <c r="L584" t="s">
        <v>34</v>
      </c>
      <c r="M584" t="str">
        <f t="shared" si="64"/>
        <v>Private Industry</v>
      </c>
      <c r="N584" t="str">
        <f t="shared" si="65"/>
        <v>Small Order</v>
      </c>
      <c r="O584">
        <f t="shared" si="66"/>
        <v>68017.440000000002</v>
      </c>
      <c r="P584">
        <f t="shared" si="67"/>
        <v>68017.440000000002</v>
      </c>
      <c r="Q584" t="b">
        <f t="shared" si="68"/>
        <v>1</v>
      </c>
      <c r="R584">
        <f t="shared" si="69"/>
        <v>68017.440000000002</v>
      </c>
      <c r="S584" s="14">
        <f>_xlfn.XLOOKUP(B584,Summary!$C$10:$C$15,Summary!$B$10:$B$15)</f>
        <v>0.21</v>
      </c>
      <c r="T584">
        <f>IF(AND(H584="Yes",L584&lt;&gt;"Government"),G584*(_xlfn.XLOOKUP(B584,Summary!$C$10:$C$15,Summary!$B$10:$B$15)),0)</f>
        <v>62102.879999999997</v>
      </c>
    </row>
    <row r="585" spans="1:20" x14ac:dyDescent="0.25">
      <c r="A585">
        <v>58383</v>
      </c>
      <c r="B585" t="s">
        <v>29</v>
      </c>
      <c r="C585" t="s">
        <v>35</v>
      </c>
      <c r="D585" s="11">
        <v>1594</v>
      </c>
      <c r="E585">
        <v>10.47</v>
      </c>
      <c r="F585">
        <v>14</v>
      </c>
      <c r="G585">
        <f t="shared" si="63"/>
        <v>22316</v>
      </c>
      <c r="H585" t="s">
        <v>72</v>
      </c>
      <c r="J585" s="9">
        <v>45369</v>
      </c>
      <c r="K585" t="s">
        <v>41</v>
      </c>
      <c r="L585" t="s">
        <v>24</v>
      </c>
      <c r="M585" t="str">
        <f t="shared" si="64"/>
        <v>Public Sector</v>
      </c>
      <c r="N585" t="str">
        <f t="shared" si="65"/>
        <v>Large Order</v>
      </c>
      <c r="O585">
        <f t="shared" si="66"/>
        <v>0</v>
      </c>
      <c r="P585">
        <f t="shared" si="67"/>
        <v>0</v>
      </c>
      <c r="Q585" t="b">
        <f t="shared" si="68"/>
        <v>0</v>
      </c>
      <c r="R585">
        <f t="shared" si="69"/>
        <v>0</v>
      </c>
      <c r="S585" s="14">
        <f>_xlfn.XLOOKUP(B585,Summary!$C$10:$C$15,Summary!$B$10:$B$15)</f>
        <v>0.22</v>
      </c>
      <c r="T585">
        <f>IF(AND(H585="Yes",L585&lt;&gt;"Government"),G585*(_xlfn.XLOOKUP(B585,Summary!$C$10:$C$15,Summary!$B$10:$B$15)),0)</f>
        <v>0</v>
      </c>
    </row>
    <row r="586" spans="1:20" x14ac:dyDescent="0.25">
      <c r="A586">
        <v>96764</v>
      </c>
      <c r="B586" t="s">
        <v>43</v>
      </c>
      <c r="C586" t="s">
        <v>25</v>
      </c>
      <c r="D586" s="11">
        <v>386</v>
      </c>
      <c r="E586">
        <v>3.02</v>
      </c>
      <c r="F586">
        <v>5</v>
      </c>
      <c r="G586">
        <f t="shared" si="63"/>
        <v>1930</v>
      </c>
      <c r="H586" t="s">
        <v>71</v>
      </c>
      <c r="J586" s="9">
        <v>45113</v>
      </c>
      <c r="K586" t="s">
        <v>41</v>
      </c>
      <c r="L586" t="s">
        <v>31</v>
      </c>
      <c r="M586" t="str">
        <f t="shared" si="64"/>
        <v>Private Industry</v>
      </c>
      <c r="N586" t="str">
        <f t="shared" si="65"/>
        <v>Small Order</v>
      </c>
      <c r="O586">
        <f t="shared" si="66"/>
        <v>443.90000000000003</v>
      </c>
      <c r="P586">
        <f t="shared" si="67"/>
        <v>443.90000000000003</v>
      </c>
      <c r="Q586" t="b">
        <f t="shared" si="68"/>
        <v>1</v>
      </c>
      <c r="R586">
        <f t="shared" si="69"/>
        <v>443.90000000000003</v>
      </c>
      <c r="S586" s="14">
        <f>_xlfn.XLOOKUP(B586,Summary!$C$10:$C$15,Summary!$B$10:$B$15)</f>
        <v>0.21</v>
      </c>
      <c r="T586">
        <f>IF(AND(H586="Yes",L586&lt;&gt;"Government"),G586*(_xlfn.XLOOKUP(B586,Summary!$C$10:$C$15,Summary!$B$10:$B$15)),0)</f>
        <v>405.3</v>
      </c>
    </row>
    <row r="587" spans="1:20" x14ac:dyDescent="0.25">
      <c r="A587">
        <v>58413</v>
      </c>
      <c r="B587" t="s">
        <v>32</v>
      </c>
      <c r="C587" t="s">
        <v>25</v>
      </c>
      <c r="D587" s="11">
        <v>1362</v>
      </c>
      <c r="E587">
        <v>3.08</v>
      </c>
      <c r="F587">
        <v>5</v>
      </c>
      <c r="G587">
        <f t="shared" si="63"/>
        <v>6810</v>
      </c>
      <c r="H587" t="s">
        <v>72</v>
      </c>
      <c r="J587" s="9">
        <v>45304</v>
      </c>
      <c r="K587" t="s">
        <v>40</v>
      </c>
      <c r="L587" t="s">
        <v>24</v>
      </c>
      <c r="M587" t="str">
        <f t="shared" si="64"/>
        <v>Public Sector</v>
      </c>
      <c r="N587" t="str">
        <f t="shared" si="65"/>
        <v>Small Order</v>
      </c>
      <c r="O587">
        <f t="shared" si="66"/>
        <v>0</v>
      </c>
      <c r="P587">
        <f t="shared" si="67"/>
        <v>0</v>
      </c>
      <c r="Q587" t="b">
        <f t="shared" si="68"/>
        <v>0</v>
      </c>
      <c r="R587">
        <f t="shared" si="69"/>
        <v>0</v>
      </c>
      <c r="S587" s="14">
        <f>_xlfn.XLOOKUP(B587,Summary!$C$10:$C$15,Summary!$B$10:$B$15)</f>
        <v>0.23</v>
      </c>
      <c r="T587">
        <f>IF(AND(H587="Yes",L587&lt;&gt;"Government"),G587*(_xlfn.XLOOKUP(B587,Summary!$C$10:$C$15,Summary!$B$10:$B$15)),0)</f>
        <v>0</v>
      </c>
    </row>
    <row r="588" spans="1:20" x14ac:dyDescent="0.25">
      <c r="A588">
        <v>62363</v>
      </c>
      <c r="B588" t="s">
        <v>42</v>
      </c>
      <c r="C588" t="s">
        <v>37</v>
      </c>
      <c r="D588" s="11">
        <v>1397</v>
      </c>
      <c r="E588">
        <v>251</v>
      </c>
      <c r="F588">
        <v>357</v>
      </c>
      <c r="G588">
        <f t="shared" si="63"/>
        <v>498729</v>
      </c>
      <c r="H588" t="s">
        <v>72</v>
      </c>
      <c r="J588" s="9">
        <v>45394</v>
      </c>
      <c r="K588" t="s">
        <v>39</v>
      </c>
      <c r="L588" t="s">
        <v>24</v>
      </c>
      <c r="M588" t="str">
        <f t="shared" si="64"/>
        <v>Public Sector</v>
      </c>
      <c r="N588" t="str">
        <f t="shared" si="65"/>
        <v>Small Order</v>
      </c>
      <c r="O588">
        <f t="shared" si="66"/>
        <v>0</v>
      </c>
      <c r="P588">
        <f t="shared" si="67"/>
        <v>0</v>
      </c>
      <c r="Q588" t="b">
        <f t="shared" si="68"/>
        <v>0</v>
      </c>
      <c r="R588">
        <f t="shared" si="69"/>
        <v>0</v>
      </c>
      <c r="S588" s="14">
        <f>_xlfn.XLOOKUP(B588,Summary!$C$10:$C$15,Summary!$B$10:$B$15)</f>
        <v>0.24</v>
      </c>
      <c r="T588">
        <f>IF(AND(H588="Yes",L588&lt;&gt;"Government"),G588*(_xlfn.XLOOKUP(B588,Summary!$C$10:$C$15,Summary!$B$10:$B$15)),0)</f>
        <v>0</v>
      </c>
    </row>
    <row r="589" spans="1:20" x14ac:dyDescent="0.25">
      <c r="A589">
        <v>64130</v>
      </c>
      <c r="B589" t="s">
        <v>42</v>
      </c>
      <c r="C589" t="s">
        <v>38</v>
      </c>
      <c r="D589" s="11">
        <v>2629</v>
      </c>
      <c r="E589">
        <v>260.38</v>
      </c>
      <c r="F589">
        <v>386</v>
      </c>
      <c r="G589">
        <f t="shared" si="63"/>
        <v>1014794</v>
      </c>
      <c r="H589" t="s">
        <v>71</v>
      </c>
      <c r="J589" s="9">
        <v>45540</v>
      </c>
      <c r="K589" t="s">
        <v>41</v>
      </c>
      <c r="L589" t="s">
        <v>24</v>
      </c>
      <c r="M589" t="str">
        <f t="shared" si="64"/>
        <v>Public Sector</v>
      </c>
      <c r="N589" t="str">
        <f t="shared" si="65"/>
        <v>Large Order</v>
      </c>
      <c r="O589">
        <f t="shared" si="66"/>
        <v>233402.62000000002</v>
      </c>
      <c r="P589">
        <f t="shared" si="67"/>
        <v>0</v>
      </c>
      <c r="Q589" t="b">
        <f t="shared" si="68"/>
        <v>0</v>
      </c>
      <c r="R589">
        <f t="shared" si="69"/>
        <v>0</v>
      </c>
      <c r="S589" s="14">
        <f>_xlfn.XLOOKUP(B589,Summary!$C$10:$C$15,Summary!$B$10:$B$15)</f>
        <v>0.24</v>
      </c>
      <c r="T589">
        <f>IF(AND(H589="Yes",L589&lt;&gt;"Government"),G589*(_xlfn.XLOOKUP(B589,Summary!$C$10:$C$15,Summary!$B$10:$B$15)),0)</f>
        <v>0</v>
      </c>
    </row>
    <row r="590" spans="1:20" x14ac:dyDescent="0.25">
      <c r="A590">
        <v>31073</v>
      </c>
      <c r="B590" t="s">
        <v>44</v>
      </c>
      <c r="C590" t="s">
        <v>37</v>
      </c>
      <c r="D590" s="11">
        <v>2529</v>
      </c>
      <c r="E590">
        <v>250.01</v>
      </c>
      <c r="F590">
        <v>358</v>
      </c>
      <c r="G590">
        <f t="shared" si="63"/>
        <v>905382</v>
      </c>
      <c r="H590" t="s">
        <v>71</v>
      </c>
      <c r="J590" s="9">
        <v>45542</v>
      </c>
      <c r="K590" t="s">
        <v>41</v>
      </c>
      <c r="L590" t="s">
        <v>33</v>
      </c>
      <c r="M590" t="str">
        <f t="shared" si="64"/>
        <v>Private Industry</v>
      </c>
      <c r="N590" t="str">
        <f t="shared" si="65"/>
        <v>Large Order</v>
      </c>
      <c r="O590">
        <f t="shared" si="66"/>
        <v>208237.86000000002</v>
      </c>
      <c r="P590">
        <f t="shared" si="67"/>
        <v>208237.86000000002</v>
      </c>
      <c r="Q590" t="b">
        <f t="shared" si="68"/>
        <v>1</v>
      </c>
      <c r="R590">
        <f t="shared" si="69"/>
        <v>208237.86000000002</v>
      </c>
      <c r="S590" s="14">
        <f>_xlfn.XLOOKUP(B590,Summary!$C$10:$C$15,Summary!$B$10:$B$15)</f>
        <v>0.2</v>
      </c>
      <c r="T590">
        <f>IF(AND(H590="Yes",L590&lt;&gt;"Government"),G590*(_xlfn.XLOOKUP(B590,Summary!$C$10:$C$15,Summary!$B$10:$B$15)),0)</f>
        <v>181076.40000000002</v>
      </c>
    </row>
    <row r="591" spans="1:20" x14ac:dyDescent="0.25">
      <c r="A591">
        <v>75174</v>
      </c>
      <c r="B591" t="s">
        <v>27</v>
      </c>
      <c r="C591" t="s">
        <v>37</v>
      </c>
      <c r="D591" s="11">
        <v>422</v>
      </c>
      <c r="E591">
        <v>250.83</v>
      </c>
      <c r="F591">
        <v>367</v>
      </c>
      <c r="G591">
        <f t="shared" si="63"/>
        <v>154874</v>
      </c>
      <c r="H591" t="s">
        <v>71</v>
      </c>
      <c r="J591" s="9">
        <v>45409</v>
      </c>
      <c r="K591" t="s">
        <v>40</v>
      </c>
      <c r="L591" t="s">
        <v>24</v>
      </c>
      <c r="M591" t="str">
        <f t="shared" si="64"/>
        <v>Public Sector</v>
      </c>
      <c r="N591" t="str">
        <f t="shared" si="65"/>
        <v>Small Order</v>
      </c>
      <c r="O591">
        <f t="shared" si="66"/>
        <v>35621.020000000004</v>
      </c>
      <c r="P591">
        <f t="shared" si="67"/>
        <v>0</v>
      </c>
      <c r="Q591" t="b">
        <f t="shared" si="68"/>
        <v>0</v>
      </c>
      <c r="R591">
        <f t="shared" si="69"/>
        <v>0</v>
      </c>
      <c r="S591" s="14">
        <f>_xlfn.XLOOKUP(B591,Summary!$C$10:$C$15,Summary!$B$10:$B$15)</f>
        <v>0.19</v>
      </c>
      <c r="T591">
        <f>IF(AND(H591="Yes",L591&lt;&gt;"Government"),G591*(_xlfn.XLOOKUP(B591,Summary!$C$10:$C$15,Summary!$B$10:$B$15)),0)</f>
        <v>0</v>
      </c>
    </row>
    <row r="592" spans="1:20" x14ac:dyDescent="0.25">
      <c r="A592">
        <v>34107</v>
      </c>
      <c r="B592" t="s">
        <v>29</v>
      </c>
      <c r="C592" t="s">
        <v>35</v>
      </c>
      <c r="D592" s="11">
        <v>549</v>
      </c>
      <c r="E592">
        <v>10.35</v>
      </c>
      <c r="F592">
        <v>14</v>
      </c>
      <c r="G592">
        <f t="shared" si="63"/>
        <v>7686</v>
      </c>
      <c r="H592" t="s">
        <v>71</v>
      </c>
      <c r="J592" s="9">
        <v>45457</v>
      </c>
      <c r="K592" t="s">
        <v>26</v>
      </c>
      <c r="L592" t="s">
        <v>28</v>
      </c>
      <c r="M592" t="str">
        <f t="shared" si="64"/>
        <v>Private Industry</v>
      </c>
      <c r="N592" t="str">
        <f t="shared" si="65"/>
        <v>Small Order</v>
      </c>
      <c r="O592">
        <f t="shared" si="66"/>
        <v>1767.78</v>
      </c>
      <c r="P592">
        <f t="shared" si="67"/>
        <v>1767.78</v>
      </c>
      <c r="Q592" t="b">
        <f t="shared" si="68"/>
        <v>1</v>
      </c>
      <c r="R592">
        <f t="shared" si="69"/>
        <v>1767.78</v>
      </c>
      <c r="S592" s="14">
        <f>_xlfn.XLOOKUP(B592,Summary!$C$10:$C$15,Summary!$B$10:$B$15)</f>
        <v>0.22</v>
      </c>
      <c r="T592">
        <f>IF(AND(H592="Yes",L592&lt;&gt;"Government"),G592*(_xlfn.XLOOKUP(B592,Summary!$C$10:$C$15,Summary!$B$10:$B$15)),0)</f>
        <v>1690.92</v>
      </c>
    </row>
    <row r="593" spans="1:20" x14ac:dyDescent="0.25">
      <c r="A593">
        <v>12366</v>
      </c>
      <c r="B593" t="s">
        <v>32</v>
      </c>
      <c r="C593" t="s">
        <v>37</v>
      </c>
      <c r="D593" s="11">
        <v>662</v>
      </c>
      <c r="E593">
        <v>250.12</v>
      </c>
      <c r="F593">
        <v>371</v>
      </c>
      <c r="G593">
        <f t="shared" si="63"/>
        <v>245602</v>
      </c>
      <c r="H593" t="s">
        <v>72</v>
      </c>
      <c r="J593" s="9">
        <v>45464</v>
      </c>
      <c r="K593" t="s">
        <v>39</v>
      </c>
      <c r="L593" t="s">
        <v>33</v>
      </c>
      <c r="M593" t="str">
        <f t="shared" si="64"/>
        <v>Private Industry</v>
      </c>
      <c r="N593" t="str">
        <f t="shared" si="65"/>
        <v>Small Order</v>
      </c>
      <c r="O593">
        <f t="shared" si="66"/>
        <v>0</v>
      </c>
      <c r="P593">
        <f t="shared" si="67"/>
        <v>0</v>
      </c>
      <c r="Q593" t="b">
        <f t="shared" si="68"/>
        <v>0</v>
      </c>
      <c r="R593">
        <f t="shared" si="69"/>
        <v>0</v>
      </c>
      <c r="S593" s="14">
        <f>_xlfn.XLOOKUP(B593,Summary!$C$10:$C$15,Summary!$B$10:$B$15)</f>
        <v>0.23</v>
      </c>
      <c r="T593">
        <f>IF(AND(H593="Yes",L593&lt;&gt;"Government"),G593*(_xlfn.XLOOKUP(B593,Summary!$C$10:$C$15,Summary!$B$10:$B$15)),0)</f>
        <v>0</v>
      </c>
    </row>
    <row r="594" spans="1:20" x14ac:dyDescent="0.25">
      <c r="A594">
        <v>41942</v>
      </c>
      <c r="B594" t="s">
        <v>27</v>
      </c>
      <c r="C594" t="s">
        <v>35</v>
      </c>
      <c r="D594" s="11">
        <v>1513</v>
      </c>
      <c r="E594">
        <v>10.11</v>
      </c>
      <c r="F594">
        <v>13</v>
      </c>
      <c r="G594">
        <f t="shared" si="63"/>
        <v>19669</v>
      </c>
      <c r="H594" t="s">
        <v>71</v>
      </c>
      <c r="J594" s="9">
        <v>45086</v>
      </c>
      <c r="K594" t="s">
        <v>26</v>
      </c>
      <c r="L594" t="s">
        <v>24</v>
      </c>
      <c r="M594" t="str">
        <f t="shared" si="64"/>
        <v>Public Sector</v>
      </c>
      <c r="N594" t="str">
        <f t="shared" si="65"/>
        <v>Large Order</v>
      </c>
      <c r="O594">
        <f t="shared" si="66"/>
        <v>4523.87</v>
      </c>
      <c r="P594">
        <f t="shared" si="67"/>
        <v>0</v>
      </c>
      <c r="Q594" t="b">
        <f t="shared" si="68"/>
        <v>0</v>
      </c>
      <c r="R594">
        <f t="shared" si="69"/>
        <v>0</v>
      </c>
      <c r="S594" s="14">
        <f>_xlfn.XLOOKUP(B594,Summary!$C$10:$C$15,Summary!$B$10:$B$15)</f>
        <v>0.19</v>
      </c>
      <c r="T594">
        <f>IF(AND(H594="Yes",L594&lt;&gt;"Government"),G594*(_xlfn.XLOOKUP(B594,Summary!$C$10:$C$15,Summary!$B$10:$B$15)),0)</f>
        <v>0</v>
      </c>
    </row>
    <row r="595" spans="1:20" x14ac:dyDescent="0.25">
      <c r="A595">
        <v>26096</v>
      </c>
      <c r="B595" t="s">
        <v>32</v>
      </c>
      <c r="C595" t="s">
        <v>30</v>
      </c>
      <c r="D595" s="11">
        <v>2321</v>
      </c>
      <c r="E595">
        <v>5.35</v>
      </c>
      <c r="F595">
        <v>7</v>
      </c>
      <c r="G595">
        <f t="shared" si="63"/>
        <v>16247</v>
      </c>
      <c r="H595" t="s">
        <v>71</v>
      </c>
      <c r="J595" s="9">
        <v>45194</v>
      </c>
      <c r="K595" t="s">
        <v>40</v>
      </c>
      <c r="L595" t="s">
        <v>31</v>
      </c>
      <c r="M595" t="str">
        <f t="shared" si="64"/>
        <v>Private Industry</v>
      </c>
      <c r="N595" t="str">
        <f t="shared" si="65"/>
        <v>Large Order</v>
      </c>
      <c r="O595">
        <f t="shared" si="66"/>
        <v>3736.81</v>
      </c>
      <c r="P595">
        <f t="shared" si="67"/>
        <v>3736.81</v>
      </c>
      <c r="Q595" t="b">
        <f t="shared" si="68"/>
        <v>1</v>
      </c>
      <c r="R595">
        <f t="shared" si="69"/>
        <v>3736.81</v>
      </c>
      <c r="S595" s="14">
        <f>_xlfn.XLOOKUP(B595,Summary!$C$10:$C$15,Summary!$B$10:$B$15)</f>
        <v>0.23</v>
      </c>
      <c r="T595">
        <f>IF(AND(H595="Yes",L595&lt;&gt;"Government"),G595*(_xlfn.XLOOKUP(B595,Summary!$C$10:$C$15,Summary!$B$10:$B$15)),0)</f>
        <v>3736.81</v>
      </c>
    </row>
    <row r="596" spans="1:20" x14ac:dyDescent="0.25">
      <c r="A596">
        <v>58579</v>
      </c>
      <c r="B596" t="s">
        <v>27</v>
      </c>
      <c r="C596" t="s">
        <v>35</v>
      </c>
      <c r="D596" s="11">
        <v>1531</v>
      </c>
      <c r="E596">
        <v>10.49</v>
      </c>
      <c r="F596">
        <v>14</v>
      </c>
      <c r="G596">
        <f t="shared" si="63"/>
        <v>21434</v>
      </c>
      <c r="H596" t="s">
        <v>71</v>
      </c>
      <c r="J596" s="9">
        <v>45782</v>
      </c>
      <c r="K596" t="s">
        <v>41</v>
      </c>
      <c r="L596" t="s">
        <v>24</v>
      </c>
      <c r="M596" t="str">
        <f t="shared" si="64"/>
        <v>Public Sector</v>
      </c>
      <c r="N596" t="str">
        <f t="shared" si="65"/>
        <v>Large Order</v>
      </c>
      <c r="O596">
        <f t="shared" si="66"/>
        <v>4929.8200000000006</v>
      </c>
      <c r="P596">
        <f t="shared" si="67"/>
        <v>0</v>
      </c>
      <c r="Q596" t="b">
        <f t="shared" si="68"/>
        <v>0</v>
      </c>
      <c r="R596">
        <f t="shared" si="69"/>
        <v>0</v>
      </c>
      <c r="S596" s="14">
        <f>_xlfn.XLOOKUP(B596,Summary!$C$10:$C$15,Summary!$B$10:$B$15)</f>
        <v>0.19</v>
      </c>
      <c r="T596">
        <f>IF(AND(H596="Yes",L596&lt;&gt;"Government"),G596*(_xlfn.XLOOKUP(B596,Summary!$C$10:$C$15,Summary!$B$10:$B$15)),0)</f>
        <v>0</v>
      </c>
    </row>
    <row r="597" spans="1:20" x14ac:dyDescent="0.25">
      <c r="A597">
        <v>98999</v>
      </c>
      <c r="B597" t="s">
        <v>29</v>
      </c>
      <c r="C597" t="s">
        <v>36</v>
      </c>
      <c r="D597" s="11">
        <v>1055</v>
      </c>
      <c r="E597">
        <v>120.96</v>
      </c>
      <c r="F597">
        <v>141</v>
      </c>
      <c r="G597">
        <f t="shared" si="63"/>
        <v>148755</v>
      </c>
      <c r="H597" t="s">
        <v>72</v>
      </c>
      <c r="J597" s="9">
        <v>45538</v>
      </c>
      <c r="K597" t="s">
        <v>39</v>
      </c>
      <c r="L597" t="s">
        <v>31</v>
      </c>
      <c r="M597" t="str">
        <f t="shared" si="64"/>
        <v>Private Industry</v>
      </c>
      <c r="N597" t="str">
        <f t="shared" si="65"/>
        <v>Small Order</v>
      </c>
      <c r="O597">
        <f t="shared" si="66"/>
        <v>0</v>
      </c>
      <c r="P597">
        <f t="shared" si="67"/>
        <v>0</v>
      </c>
      <c r="Q597" t="b">
        <f t="shared" si="68"/>
        <v>0</v>
      </c>
      <c r="R597">
        <f t="shared" si="69"/>
        <v>0</v>
      </c>
      <c r="S597" s="14">
        <f>_xlfn.XLOOKUP(B597,Summary!$C$10:$C$15,Summary!$B$10:$B$15)</f>
        <v>0.22</v>
      </c>
      <c r="T597">
        <f>IF(AND(H597="Yes",L597&lt;&gt;"Government"),G597*(_xlfn.XLOOKUP(B597,Summary!$C$10:$C$15,Summary!$B$10:$B$15)),0)</f>
        <v>0</v>
      </c>
    </row>
    <row r="598" spans="1:20" x14ac:dyDescent="0.25">
      <c r="A598">
        <v>47162</v>
      </c>
      <c r="B598" t="s">
        <v>29</v>
      </c>
      <c r="C598" t="s">
        <v>36</v>
      </c>
      <c r="D598" s="11">
        <v>1496</v>
      </c>
      <c r="E598">
        <v>120.96</v>
      </c>
      <c r="F598">
        <v>160</v>
      </c>
      <c r="G598">
        <f t="shared" si="63"/>
        <v>239360</v>
      </c>
      <c r="H598" t="s">
        <v>71</v>
      </c>
      <c r="J598" s="9">
        <v>45208</v>
      </c>
      <c r="K598" t="s">
        <v>40</v>
      </c>
      <c r="L598" t="s">
        <v>24</v>
      </c>
      <c r="M598" t="str">
        <f t="shared" si="64"/>
        <v>Public Sector</v>
      </c>
      <c r="N598" t="str">
        <f t="shared" si="65"/>
        <v>Small Order</v>
      </c>
      <c r="O598">
        <f t="shared" si="66"/>
        <v>55052.800000000003</v>
      </c>
      <c r="P598">
        <f t="shared" si="67"/>
        <v>0</v>
      </c>
      <c r="Q598" t="b">
        <f t="shared" si="68"/>
        <v>0</v>
      </c>
      <c r="R598">
        <f t="shared" si="69"/>
        <v>0</v>
      </c>
      <c r="S598" s="14">
        <f>_xlfn.XLOOKUP(B598,Summary!$C$10:$C$15,Summary!$B$10:$B$15)</f>
        <v>0.22</v>
      </c>
      <c r="T598">
        <f>IF(AND(H598="Yes",L598&lt;&gt;"Government"),G598*(_xlfn.XLOOKUP(B598,Summary!$C$10:$C$15,Summary!$B$10:$B$15)),0)</f>
        <v>0</v>
      </c>
    </row>
    <row r="599" spans="1:20" x14ac:dyDescent="0.25">
      <c r="A599">
        <v>40882</v>
      </c>
      <c r="B599" t="s">
        <v>32</v>
      </c>
      <c r="C599" t="s">
        <v>35</v>
      </c>
      <c r="D599" s="11">
        <v>2327</v>
      </c>
      <c r="E599">
        <v>10.69</v>
      </c>
      <c r="F599">
        <v>14</v>
      </c>
      <c r="G599">
        <f t="shared" si="63"/>
        <v>32578</v>
      </c>
      <c r="H599" t="s">
        <v>72</v>
      </c>
      <c r="J599" s="9">
        <v>45554</v>
      </c>
      <c r="K599" t="s">
        <v>40</v>
      </c>
      <c r="L599" t="s">
        <v>24</v>
      </c>
      <c r="M599" t="str">
        <f t="shared" si="64"/>
        <v>Public Sector</v>
      </c>
      <c r="N599" t="str">
        <f t="shared" si="65"/>
        <v>Large Order</v>
      </c>
      <c r="O599">
        <f t="shared" si="66"/>
        <v>0</v>
      </c>
      <c r="P599">
        <f t="shared" si="67"/>
        <v>0</v>
      </c>
      <c r="Q599" t="b">
        <f t="shared" si="68"/>
        <v>0</v>
      </c>
      <c r="R599">
        <f t="shared" si="69"/>
        <v>0</v>
      </c>
      <c r="S599" s="14">
        <f>_xlfn.XLOOKUP(B599,Summary!$C$10:$C$15,Summary!$B$10:$B$15)</f>
        <v>0.23</v>
      </c>
      <c r="T599">
        <f>IF(AND(H599="Yes",L599&lt;&gt;"Government"),G599*(_xlfn.XLOOKUP(B599,Summary!$C$10:$C$15,Summary!$B$10:$B$15)),0)</f>
        <v>0</v>
      </c>
    </row>
    <row r="600" spans="1:20" x14ac:dyDescent="0.25">
      <c r="A600">
        <v>76135</v>
      </c>
      <c r="B600" t="s">
        <v>27</v>
      </c>
      <c r="C600" t="s">
        <v>38</v>
      </c>
      <c r="D600" s="11">
        <v>1350</v>
      </c>
      <c r="E600">
        <v>260.57</v>
      </c>
      <c r="F600">
        <v>329</v>
      </c>
      <c r="G600">
        <f t="shared" si="63"/>
        <v>444150</v>
      </c>
      <c r="H600" t="s">
        <v>72</v>
      </c>
      <c r="J600" s="9">
        <v>45673</v>
      </c>
      <c r="K600" t="s">
        <v>40</v>
      </c>
      <c r="L600" t="s">
        <v>24</v>
      </c>
      <c r="M600" t="str">
        <f t="shared" si="64"/>
        <v>Public Sector</v>
      </c>
      <c r="N600" t="str">
        <f t="shared" si="65"/>
        <v>Small Order</v>
      </c>
      <c r="O600">
        <f t="shared" si="66"/>
        <v>0</v>
      </c>
      <c r="P600">
        <f t="shared" si="67"/>
        <v>0</v>
      </c>
      <c r="Q600" t="b">
        <f t="shared" si="68"/>
        <v>0</v>
      </c>
      <c r="R600">
        <f t="shared" si="69"/>
        <v>0</v>
      </c>
      <c r="S600" s="14">
        <f>_xlfn.XLOOKUP(B600,Summary!$C$10:$C$15,Summary!$B$10:$B$15)</f>
        <v>0.19</v>
      </c>
      <c r="T600">
        <f>IF(AND(H600="Yes",L600&lt;&gt;"Government"),G600*(_xlfn.XLOOKUP(B600,Summary!$C$10:$C$15,Summary!$B$10:$B$15)),0)</f>
        <v>0</v>
      </c>
    </row>
    <row r="601" spans="1:20" x14ac:dyDescent="0.25">
      <c r="A601">
        <v>47986</v>
      </c>
      <c r="B601" t="s">
        <v>29</v>
      </c>
      <c r="C601" t="s">
        <v>38</v>
      </c>
      <c r="D601" s="11">
        <v>321</v>
      </c>
      <c r="E601">
        <v>260.81</v>
      </c>
      <c r="F601">
        <v>287</v>
      </c>
      <c r="G601">
        <f t="shared" si="63"/>
        <v>92127</v>
      </c>
      <c r="H601" t="s">
        <v>71</v>
      </c>
      <c r="J601" s="9">
        <v>45708</v>
      </c>
      <c r="K601" t="s">
        <v>39</v>
      </c>
      <c r="L601" t="s">
        <v>28</v>
      </c>
      <c r="M601" t="str">
        <f t="shared" si="64"/>
        <v>Private Industry</v>
      </c>
      <c r="N601" t="str">
        <f t="shared" si="65"/>
        <v>Small Order</v>
      </c>
      <c r="O601">
        <f t="shared" si="66"/>
        <v>21189.21</v>
      </c>
      <c r="P601">
        <f t="shared" si="67"/>
        <v>21189.21</v>
      </c>
      <c r="Q601" t="b">
        <f t="shared" si="68"/>
        <v>1</v>
      </c>
      <c r="R601">
        <f t="shared" si="69"/>
        <v>21189.21</v>
      </c>
      <c r="S601" s="14">
        <f>_xlfn.XLOOKUP(B601,Summary!$C$10:$C$15,Summary!$B$10:$B$15)</f>
        <v>0.22</v>
      </c>
      <c r="T601">
        <f>IF(AND(H601="Yes",L601&lt;&gt;"Government"),G601*(_xlfn.XLOOKUP(B601,Summary!$C$10:$C$15,Summary!$B$10:$B$15)),0)</f>
        <v>20267.939999999999</v>
      </c>
    </row>
    <row r="602" spans="1:20" x14ac:dyDescent="0.25">
      <c r="A602">
        <v>25622</v>
      </c>
      <c r="B602" t="s">
        <v>43</v>
      </c>
      <c r="C602" t="s">
        <v>35</v>
      </c>
      <c r="D602" s="11">
        <v>2918</v>
      </c>
      <c r="E602">
        <v>10.33</v>
      </c>
      <c r="F602">
        <v>15</v>
      </c>
      <c r="G602">
        <f t="shared" si="63"/>
        <v>43770</v>
      </c>
      <c r="H602" t="s">
        <v>71</v>
      </c>
      <c r="J602" s="9">
        <v>45497</v>
      </c>
      <c r="K602" t="s">
        <v>39</v>
      </c>
      <c r="L602" t="s">
        <v>34</v>
      </c>
      <c r="M602" t="str">
        <f t="shared" si="64"/>
        <v>Private Industry</v>
      </c>
      <c r="N602" t="str">
        <f t="shared" si="65"/>
        <v>Large Order</v>
      </c>
      <c r="O602">
        <f t="shared" si="66"/>
        <v>10067.1</v>
      </c>
      <c r="P602">
        <f t="shared" si="67"/>
        <v>10067.1</v>
      </c>
      <c r="Q602" t="b">
        <f t="shared" si="68"/>
        <v>1</v>
      </c>
      <c r="R602">
        <f t="shared" si="69"/>
        <v>10067.1</v>
      </c>
      <c r="S602" s="14">
        <f>_xlfn.XLOOKUP(B602,Summary!$C$10:$C$15,Summary!$B$10:$B$15)</f>
        <v>0.21</v>
      </c>
      <c r="T602">
        <f>IF(AND(H602="Yes",L602&lt;&gt;"Government"),G602*(_xlfn.XLOOKUP(B602,Summary!$C$10:$C$15,Summary!$B$10:$B$15)),0)</f>
        <v>9191.6999999999989</v>
      </c>
    </row>
    <row r="603" spans="1:20" x14ac:dyDescent="0.25">
      <c r="A603">
        <v>61526</v>
      </c>
      <c r="B603" t="s">
        <v>29</v>
      </c>
      <c r="C603" t="s">
        <v>35</v>
      </c>
      <c r="D603" s="11">
        <v>1393</v>
      </c>
      <c r="E603">
        <v>10.51</v>
      </c>
      <c r="F603">
        <v>16</v>
      </c>
      <c r="G603">
        <f t="shared" si="63"/>
        <v>22288</v>
      </c>
      <c r="H603" t="s">
        <v>71</v>
      </c>
      <c r="J603" s="9">
        <v>45235</v>
      </c>
      <c r="K603" t="s">
        <v>41</v>
      </c>
      <c r="L603" t="s">
        <v>31</v>
      </c>
      <c r="M603" t="str">
        <f t="shared" si="64"/>
        <v>Private Industry</v>
      </c>
      <c r="N603" t="str">
        <f t="shared" si="65"/>
        <v>Small Order</v>
      </c>
      <c r="O603">
        <f t="shared" si="66"/>
        <v>5126.24</v>
      </c>
      <c r="P603">
        <f t="shared" si="67"/>
        <v>5126.24</v>
      </c>
      <c r="Q603" t="b">
        <f t="shared" si="68"/>
        <v>1</v>
      </c>
      <c r="R603">
        <f t="shared" si="69"/>
        <v>5126.24</v>
      </c>
      <c r="S603" s="14">
        <f>_xlfn.XLOOKUP(B603,Summary!$C$10:$C$15,Summary!$B$10:$B$15)</f>
        <v>0.22</v>
      </c>
      <c r="T603">
        <f>IF(AND(H603="Yes",L603&lt;&gt;"Government"),G603*(_xlfn.XLOOKUP(B603,Summary!$C$10:$C$15,Summary!$B$10:$B$15)),0)</f>
        <v>4903.3599999999997</v>
      </c>
    </row>
    <row r="604" spans="1:20" x14ac:dyDescent="0.25">
      <c r="A604">
        <v>68930</v>
      </c>
      <c r="B604" t="s">
        <v>32</v>
      </c>
      <c r="C604" t="s">
        <v>30</v>
      </c>
      <c r="D604" s="11">
        <v>2072</v>
      </c>
      <c r="E604">
        <v>5.9</v>
      </c>
      <c r="F604">
        <v>9</v>
      </c>
      <c r="G604">
        <f t="shared" si="63"/>
        <v>18648</v>
      </c>
      <c r="H604" t="s">
        <v>72</v>
      </c>
      <c r="J604" s="9">
        <v>45158</v>
      </c>
      <c r="K604" t="s">
        <v>41</v>
      </c>
      <c r="L604" t="s">
        <v>28</v>
      </c>
      <c r="M604" t="str">
        <f t="shared" si="64"/>
        <v>Private Industry</v>
      </c>
      <c r="N604" t="str">
        <f t="shared" si="65"/>
        <v>Large Order</v>
      </c>
      <c r="O604">
        <f t="shared" si="66"/>
        <v>0</v>
      </c>
      <c r="P604">
        <f t="shared" si="67"/>
        <v>0</v>
      </c>
      <c r="Q604" t="b">
        <f t="shared" si="68"/>
        <v>0</v>
      </c>
      <c r="R604">
        <f t="shared" si="69"/>
        <v>0</v>
      </c>
      <c r="S604" s="14">
        <f>_xlfn.XLOOKUP(B604,Summary!$C$10:$C$15,Summary!$B$10:$B$15)</f>
        <v>0.23</v>
      </c>
      <c r="T604">
        <f>IF(AND(H604="Yes",L604&lt;&gt;"Government"),G604*(_xlfn.XLOOKUP(B604,Summary!$C$10:$C$15,Summary!$B$10:$B$15)),0)</f>
        <v>0</v>
      </c>
    </row>
    <row r="605" spans="1:20" x14ac:dyDescent="0.25">
      <c r="A605">
        <v>31236</v>
      </c>
      <c r="B605" t="s">
        <v>42</v>
      </c>
      <c r="C605" t="s">
        <v>35</v>
      </c>
      <c r="D605" s="11">
        <v>2151</v>
      </c>
      <c r="E605">
        <v>10.15</v>
      </c>
      <c r="F605">
        <v>15</v>
      </c>
      <c r="G605">
        <f t="shared" si="63"/>
        <v>32265</v>
      </c>
      <c r="H605" t="s">
        <v>71</v>
      </c>
      <c r="J605" s="9">
        <v>45248</v>
      </c>
      <c r="K605" t="s">
        <v>41</v>
      </c>
      <c r="L605" t="s">
        <v>24</v>
      </c>
      <c r="M605" t="str">
        <f t="shared" si="64"/>
        <v>Public Sector</v>
      </c>
      <c r="N605" t="str">
        <f t="shared" si="65"/>
        <v>Large Order</v>
      </c>
      <c r="O605">
        <f t="shared" si="66"/>
        <v>7420.9500000000007</v>
      </c>
      <c r="P605">
        <f t="shared" si="67"/>
        <v>0</v>
      </c>
      <c r="Q605" t="b">
        <f t="shared" si="68"/>
        <v>0</v>
      </c>
      <c r="R605">
        <f t="shared" si="69"/>
        <v>0</v>
      </c>
      <c r="S605" s="14">
        <f>_xlfn.XLOOKUP(B605,Summary!$C$10:$C$15,Summary!$B$10:$B$15)</f>
        <v>0.24</v>
      </c>
      <c r="T605">
        <f>IF(AND(H605="Yes",L605&lt;&gt;"Government"),G605*(_xlfn.XLOOKUP(B605,Summary!$C$10:$C$15,Summary!$B$10:$B$15)),0)</f>
        <v>0</v>
      </c>
    </row>
    <row r="606" spans="1:20" x14ac:dyDescent="0.25">
      <c r="A606">
        <v>97245</v>
      </c>
      <c r="B606" t="s">
        <v>29</v>
      </c>
      <c r="C606" t="s">
        <v>37</v>
      </c>
      <c r="D606" s="11">
        <v>1527</v>
      </c>
      <c r="E606">
        <v>250.32</v>
      </c>
      <c r="F606">
        <v>263</v>
      </c>
      <c r="G606">
        <f t="shared" si="63"/>
        <v>401601</v>
      </c>
      <c r="H606" t="s">
        <v>71</v>
      </c>
      <c r="J606" s="9">
        <v>45680</v>
      </c>
      <c r="K606" t="s">
        <v>26</v>
      </c>
      <c r="L606" t="s">
        <v>24</v>
      </c>
      <c r="M606" t="str">
        <f t="shared" si="64"/>
        <v>Public Sector</v>
      </c>
      <c r="N606" t="str">
        <f t="shared" si="65"/>
        <v>Large Order</v>
      </c>
      <c r="O606">
        <f t="shared" si="66"/>
        <v>92368.23000000001</v>
      </c>
      <c r="P606">
        <f t="shared" si="67"/>
        <v>0</v>
      </c>
      <c r="Q606" t="b">
        <f t="shared" si="68"/>
        <v>0</v>
      </c>
      <c r="R606">
        <f t="shared" si="69"/>
        <v>0</v>
      </c>
      <c r="S606" s="14">
        <f>_xlfn.XLOOKUP(B606,Summary!$C$10:$C$15,Summary!$B$10:$B$15)</f>
        <v>0.22</v>
      </c>
      <c r="T606">
        <f>IF(AND(H606="Yes",L606&lt;&gt;"Government"),G606*(_xlfn.XLOOKUP(B606,Summary!$C$10:$C$15,Summary!$B$10:$B$15)),0)</f>
        <v>0</v>
      </c>
    </row>
    <row r="607" spans="1:20" x14ac:dyDescent="0.25">
      <c r="A607">
        <v>23721</v>
      </c>
      <c r="B607" t="s">
        <v>42</v>
      </c>
      <c r="C607" t="s">
        <v>35</v>
      </c>
      <c r="D607" s="11">
        <v>2535</v>
      </c>
      <c r="E607">
        <v>10.68</v>
      </c>
      <c r="F607">
        <v>13</v>
      </c>
      <c r="G607">
        <f t="shared" si="63"/>
        <v>32955</v>
      </c>
      <c r="H607" t="s">
        <v>72</v>
      </c>
      <c r="J607" s="9">
        <v>45459</v>
      </c>
      <c r="K607" t="s">
        <v>41</v>
      </c>
      <c r="L607" t="s">
        <v>24</v>
      </c>
      <c r="M607" t="str">
        <f t="shared" si="64"/>
        <v>Public Sector</v>
      </c>
      <c r="N607" t="str">
        <f t="shared" si="65"/>
        <v>Large Order</v>
      </c>
      <c r="O607">
        <f t="shared" si="66"/>
        <v>0</v>
      </c>
      <c r="P607">
        <f t="shared" si="67"/>
        <v>0</v>
      </c>
      <c r="Q607" t="b">
        <f t="shared" si="68"/>
        <v>0</v>
      </c>
      <c r="R607">
        <f t="shared" si="69"/>
        <v>0</v>
      </c>
      <c r="S607" s="14">
        <f>_xlfn.XLOOKUP(B607,Summary!$C$10:$C$15,Summary!$B$10:$B$15)</f>
        <v>0.24</v>
      </c>
      <c r="T607">
        <f>IF(AND(H607="Yes",L607&lt;&gt;"Government"),G607*(_xlfn.XLOOKUP(B607,Summary!$C$10:$C$15,Summary!$B$10:$B$15)),0)</f>
        <v>0</v>
      </c>
    </row>
    <row r="608" spans="1:20" x14ac:dyDescent="0.25">
      <c r="A608">
        <v>44373</v>
      </c>
      <c r="B608" t="s">
        <v>27</v>
      </c>
      <c r="C608" t="s">
        <v>30</v>
      </c>
      <c r="D608" s="11">
        <v>1706</v>
      </c>
      <c r="E608">
        <v>5.48</v>
      </c>
      <c r="F608">
        <v>6</v>
      </c>
      <c r="G608">
        <f t="shared" si="63"/>
        <v>10236</v>
      </c>
      <c r="H608" t="s">
        <v>72</v>
      </c>
      <c r="J608" s="9">
        <v>45642</v>
      </c>
      <c r="K608" t="s">
        <v>39</v>
      </c>
      <c r="L608" t="s">
        <v>33</v>
      </c>
      <c r="M608" t="str">
        <f t="shared" si="64"/>
        <v>Private Industry</v>
      </c>
      <c r="N608" t="str">
        <f t="shared" si="65"/>
        <v>Large Order</v>
      </c>
      <c r="O608">
        <f t="shared" si="66"/>
        <v>0</v>
      </c>
      <c r="P608">
        <f t="shared" si="67"/>
        <v>0</v>
      </c>
      <c r="Q608" t="b">
        <f t="shared" si="68"/>
        <v>0</v>
      </c>
      <c r="R608">
        <f t="shared" si="69"/>
        <v>0</v>
      </c>
      <c r="S608" s="14">
        <f>_xlfn.XLOOKUP(B608,Summary!$C$10:$C$15,Summary!$B$10:$B$15)</f>
        <v>0.19</v>
      </c>
      <c r="T608">
        <f>IF(AND(H608="Yes",L608&lt;&gt;"Government"),G608*(_xlfn.XLOOKUP(B608,Summary!$C$10:$C$15,Summary!$B$10:$B$15)),0)</f>
        <v>0</v>
      </c>
    </row>
    <row r="609" spans="1:20" x14ac:dyDescent="0.25">
      <c r="A609">
        <v>39060</v>
      </c>
      <c r="B609" t="s">
        <v>44</v>
      </c>
      <c r="C609" t="s">
        <v>36</v>
      </c>
      <c r="D609" s="11">
        <v>2092</v>
      </c>
      <c r="E609">
        <v>120.25</v>
      </c>
      <c r="F609">
        <v>123</v>
      </c>
      <c r="G609">
        <f t="shared" si="63"/>
        <v>257316</v>
      </c>
      <c r="H609" t="s">
        <v>71</v>
      </c>
      <c r="J609" s="9">
        <v>45740</v>
      </c>
      <c r="K609" t="s">
        <v>39</v>
      </c>
      <c r="L609" t="s">
        <v>24</v>
      </c>
      <c r="M609" t="str">
        <f t="shared" si="64"/>
        <v>Public Sector</v>
      </c>
      <c r="N609" t="str">
        <f t="shared" si="65"/>
        <v>Large Order</v>
      </c>
      <c r="O609">
        <f t="shared" si="66"/>
        <v>59182.68</v>
      </c>
      <c r="P609">
        <f t="shared" si="67"/>
        <v>0</v>
      </c>
      <c r="Q609" t="b">
        <f t="shared" si="68"/>
        <v>0</v>
      </c>
      <c r="R609">
        <f t="shared" si="69"/>
        <v>0</v>
      </c>
      <c r="S609" s="14">
        <f>_xlfn.XLOOKUP(B609,Summary!$C$10:$C$15,Summary!$B$10:$B$15)</f>
        <v>0.2</v>
      </c>
      <c r="T609">
        <f>IF(AND(H609="Yes",L609&lt;&gt;"Government"),G609*(_xlfn.XLOOKUP(B609,Summary!$C$10:$C$15,Summary!$B$10:$B$15)),0)</f>
        <v>0</v>
      </c>
    </row>
    <row r="610" spans="1:20" x14ac:dyDescent="0.25">
      <c r="A610">
        <v>26659</v>
      </c>
      <c r="B610" t="s">
        <v>42</v>
      </c>
      <c r="C610" t="s">
        <v>37</v>
      </c>
      <c r="D610" s="11">
        <v>1498</v>
      </c>
      <c r="E610">
        <v>250.94</v>
      </c>
      <c r="F610">
        <v>279</v>
      </c>
      <c r="G610">
        <f t="shared" si="63"/>
        <v>417942</v>
      </c>
      <c r="H610" t="s">
        <v>71</v>
      </c>
      <c r="J610" s="9">
        <v>45559</v>
      </c>
      <c r="K610" t="s">
        <v>40</v>
      </c>
      <c r="L610" t="s">
        <v>24</v>
      </c>
      <c r="M610" t="str">
        <f t="shared" si="64"/>
        <v>Public Sector</v>
      </c>
      <c r="N610" t="str">
        <f t="shared" si="65"/>
        <v>Small Order</v>
      </c>
      <c r="O610">
        <f t="shared" si="66"/>
        <v>96126.66</v>
      </c>
      <c r="P610">
        <f t="shared" si="67"/>
        <v>0</v>
      </c>
      <c r="Q610" t="b">
        <f t="shared" si="68"/>
        <v>0</v>
      </c>
      <c r="R610">
        <f t="shared" si="69"/>
        <v>0</v>
      </c>
      <c r="S610" s="14">
        <f>_xlfn.XLOOKUP(B610,Summary!$C$10:$C$15,Summary!$B$10:$B$15)</f>
        <v>0.24</v>
      </c>
      <c r="T610">
        <f>IF(AND(H610="Yes",L610&lt;&gt;"Government"),G610*(_xlfn.XLOOKUP(B610,Summary!$C$10:$C$15,Summary!$B$10:$B$15)),0)</f>
        <v>0</v>
      </c>
    </row>
    <row r="611" spans="1:20" x14ac:dyDescent="0.25">
      <c r="A611">
        <v>57406</v>
      </c>
      <c r="B611" t="s">
        <v>27</v>
      </c>
      <c r="C611" t="s">
        <v>30</v>
      </c>
      <c r="D611" s="11">
        <v>2021</v>
      </c>
      <c r="E611">
        <v>5.98</v>
      </c>
      <c r="F611">
        <v>8</v>
      </c>
      <c r="G611">
        <f t="shared" si="63"/>
        <v>16168</v>
      </c>
      <c r="H611" t="s">
        <v>71</v>
      </c>
      <c r="J611" s="9">
        <v>45107</v>
      </c>
      <c r="K611" t="s">
        <v>39</v>
      </c>
      <c r="L611" t="s">
        <v>34</v>
      </c>
      <c r="M611" t="str">
        <f t="shared" si="64"/>
        <v>Private Industry</v>
      </c>
      <c r="N611" t="str">
        <f t="shared" si="65"/>
        <v>Large Order</v>
      </c>
      <c r="O611">
        <f t="shared" si="66"/>
        <v>3718.6400000000003</v>
      </c>
      <c r="P611">
        <f t="shared" si="67"/>
        <v>3718.6400000000003</v>
      </c>
      <c r="Q611" t="b">
        <f t="shared" si="68"/>
        <v>1</v>
      </c>
      <c r="R611">
        <f t="shared" si="69"/>
        <v>3718.6400000000003</v>
      </c>
      <c r="S611" s="14">
        <f>_xlfn.XLOOKUP(B611,Summary!$C$10:$C$15,Summary!$B$10:$B$15)</f>
        <v>0.19</v>
      </c>
      <c r="T611">
        <f>IF(AND(H611="Yes",L611&lt;&gt;"Government"),G611*(_xlfn.XLOOKUP(B611,Summary!$C$10:$C$15,Summary!$B$10:$B$15)),0)</f>
        <v>3071.92</v>
      </c>
    </row>
    <row r="612" spans="1:20" x14ac:dyDescent="0.25">
      <c r="A612">
        <v>75216</v>
      </c>
      <c r="B612" t="s">
        <v>43</v>
      </c>
      <c r="C612" t="s">
        <v>36</v>
      </c>
      <c r="D612" s="11">
        <v>986</v>
      </c>
      <c r="E612">
        <v>120.04</v>
      </c>
      <c r="F612">
        <v>127</v>
      </c>
      <c r="G612">
        <f t="shared" si="63"/>
        <v>125222</v>
      </c>
      <c r="H612" t="s">
        <v>71</v>
      </c>
      <c r="J612" s="9">
        <v>45765</v>
      </c>
      <c r="K612" t="s">
        <v>41</v>
      </c>
      <c r="L612" t="s">
        <v>24</v>
      </c>
      <c r="M612" t="str">
        <f t="shared" si="64"/>
        <v>Public Sector</v>
      </c>
      <c r="N612" t="str">
        <f t="shared" si="65"/>
        <v>Small Order</v>
      </c>
      <c r="O612">
        <f t="shared" si="66"/>
        <v>28801.06</v>
      </c>
      <c r="P612">
        <f t="shared" si="67"/>
        <v>0</v>
      </c>
      <c r="Q612" t="b">
        <f t="shared" si="68"/>
        <v>0</v>
      </c>
      <c r="R612">
        <f t="shared" si="69"/>
        <v>0</v>
      </c>
      <c r="S612" s="14">
        <f>_xlfn.XLOOKUP(B612,Summary!$C$10:$C$15,Summary!$B$10:$B$15)</f>
        <v>0.21</v>
      </c>
      <c r="T612">
        <f>IF(AND(H612="Yes",L612&lt;&gt;"Government"),G612*(_xlfn.XLOOKUP(B612,Summary!$C$10:$C$15,Summary!$B$10:$B$15)),0)</f>
        <v>0</v>
      </c>
    </row>
    <row r="613" spans="1:20" x14ac:dyDescent="0.25">
      <c r="A613">
        <v>51914</v>
      </c>
      <c r="B613" t="s">
        <v>32</v>
      </c>
      <c r="C613" t="s">
        <v>37</v>
      </c>
      <c r="D613" s="11">
        <v>727</v>
      </c>
      <c r="E613">
        <v>250.77</v>
      </c>
      <c r="F613">
        <v>364</v>
      </c>
      <c r="G613">
        <f t="shared" si="63"/>
        <v>264628</v>
      </c>
      <c r="H613" t="s">
        <v>71</v>
      </c>
      <c r="J613" s="9">
        <v>45244</v>
      </c>
      <c r="K613" t="s">
        <v>39</v>
      </c>
      <c r="L613" t="s">
        <v>33</v>
      </c>
      <c r="M613" t="str">
        <f t="shared" si="64"/>
        <v>Private Industry</v>
      </c>
      <c r="N613" t="str">
        <f t="shared" si="65"/>
        <v>Small Order</v>
      </c>
      <c r="O613">
        <f t="shared" si="66"/>
        <v>60864.44</v>
      </c>
      <c r="P613">
        <f t="shared" si="67"/>
        <v>60864.44</v>
      </c>
      <c r="Q613" t="b">
        <f t="shared" si="68"/>
        <v>1</v>
      </c>
      <c r="R613">
        <f t="shared" si="69"/>
        <v>60864.44</v>
      </c>
      <c r="S613" s="14">
        <f>_xlfn.XLOOKUP(B613,Summary!$C$10:$C$15,Summary!$B$10:$B$15)</f>
        <v>0.23</v>
      </c>
      <c r="T613">
        <f>IF(AND(H613="Yes",L613&lt;&gt;"Government"),G613*(_xlfn.XLOOKUP(B613,Summary!$C$10:$C$15,Summary!$B$10:$B$15)),0)</f>
        <v>60864.44</v>
      </c>
    </row>
    <row r="614" spans="1:20" x14ac:dyDescent="0.25">
      <c r="A614">
        <v>84323</v>
      </c>
      <c r="B614" t="s">
        <v>29</v>
      </c>
      <c r="C614" t="s">
        <v>37</v>
      </c>
      <c r="D614" s="11">
        <v>2151</v>
      </c>
      <c r="E614">
        <v>250.2</v>
      </c>
      <c r="F614">
        <v>361</v>
      </c>
      <c r="G614">
        <f t="shared" si="63"/>
        <v>776511</v>
      </c>
      <c r="H614" t="s">
        <v>71</v>
      </c>
      <c r="J614" s="9">
        <v>45414</v>
      </c>
      <c r="K614" t="s">
        <v>26</v>
      </c>
      <c r="L614" t="s">
        <v>34</v>
      </c>
      <c r="M614" t="str">
        <f t="shared" si="64"/>
        <v>Private Industry</v>
      </c>
      <c r="N614" t="str">
        <f t="shared" si="65"/>
        <v>Large Order</v>
      </c>
      <c r="O614">
        <f t="shared" si="66"/>
        <v>178597.53</v>
      </c>
      <c r="P614">
        <f t="shared" si="67"/>
        <v>178597.53</v>
      </c>
      <c r="Q614" t="b">
        <f t="shared" si="68"/>
        <v>1</v>
      </c>
      <c r="R614">
        <f t="shared" si="69"/>
        <v>178597.53</v>
      </c>
      <c r="S614" s="14">
        <f>_xlfn.XLOOKUP(B614,Summary!$C$10:$C$15,Summary!$B$10:$B$15)</f>
        <v>0.22</v>
      </c>
      <c r="T614">
        <f>IF(AND(H614="Yes",L614&lt;&gt;"Government"),G614*(_xlfn.XLOOKUP(B614,Summary!$C$10:$C$15,Summary!$B$10:$B$15)),0)</f>
        <v>170832.42</v>
      </c>
    </row>
    <row r="615" spans="1:20" x14ac:dyDescent="0.25">
      <c r="A615">
        <v>98911</v>
      </c>
      <c r="B615" t="s">
        <v>44</v>
      </c>
      <c r="C615" t="s">
        <v>36</v>
      </c>
      <c r="D615" s="11">
        <v>952</v>
      </c>
      <c r="E615">
        <v>120.59</v>
      </c>
      <c r="F615">
        <v>133</v>
      </c>
      <c r="G615">
        <f t="shared" si="63"/>
        <v>126616</v>
      </c>
      <c r="H615" t="s">
        <v>72</v>
      </c>
      <c r="J615" s="9">
        <v>45601</v>
      </c>
      <c r="K615" t="s">
        <v>40</v>
      </c>
      <c r="L615" t="s">
        <v>33</v>
      </c>
      <c r="M615" t="str">
        <f t="shared" si="64"/>
        <v>Private Industry</v>
      </c>
      <c r="N615" t="str">
        <f t="shared" si="65"/>
        <v>Small Order</v>
      </c>
      <c r="O615">
        <f t="shared" si="66"/>
        <v>0</v>
      </c>
      <c r="P615">
        <f t="shared" si="67"/>
        <v>0</v>
      </c>
      <c r="Q615" t="b">
        <f t="shared" si="68"/>
        <v>0</v>
      </c>
      <c r="R615">
        <f t="shared" si="69"/>
        <v>0</v>
      </c>
      <c r="S615" s="14">
        <f>_xlfn.XLOOKUP(B615,Summary!$C$10:$C$15,Summary!$B$10:$B$15)</f>
        <v>0.2</v>
      </c>
      <c r="T615">
        <f>IF(AND(H615="Yes",L615&lt;&gt;"Government"),G615*(_xlfn.XLOOKUP(B615,Summary!$C$10:$C$15,Summary!$B$10:$B$15)),0)</f>
        <v>0</v>
      </c>
    </row>
    <row r="616" spans="1:20" x14ac:dyDescent="0.25">
      <c r="A616">
        <v>70920</v>
      </c>
      <c r="B616" t="s">
        <v>44</v>
      </c>
      <c r="C616" t="s">
        <v>38</v>
      </c>
      <c r="D616" s="11">
        <v>1645</v>
      </c>
      <c r="E616">
        <v>260.02999999999997</v>
      </c>
      <c r="F616">
        <v>372</v>
      </c>
      <c r="G616">
        <f t="shared" si="63"/>
        <v>611940</v>
      </c>
      <c r="H616" t="s">
        <v>71</v>
      </c>
      <c r="J616" s="9">
        <v>45252</v>
      </c>
      <c r="K616" t="s">
        <v>40</v>
      </c>
      <c r="L616" t="s">
        <v>33</v>
      </c>
      <c r="M616" t="str">
        <f t="shared" si="64"/>
        <v>Private Industry</v>
      </c>
      <c r="N616" t="str">
        <f t="shared" si="65"/>
        <v>Large Order</v>
      </c>
      <c r="O616">
        <f t="shared" si="66"/>
        <v>140746.20000000001</v>
      </c>
      <c r="P616">
        <f t="shared" si="67"/>
        <v>140746.20000000001</v>
      </c>
      <c r="Q616" t="b">
        <f t="shared" si="68"/>
        <v>1</v>
      </c>
      <c r="R616">
        <f t="shared" si="69"/>
        <v>140746.20000000001</v>
      </c>
      <c r="S616" s="14">
        <f>_xlfn.XLOOKUP(B616,Summary!$C$10:$C$15,Summary!$B$10:$B$15)</f>
        <v>0.2</v>
      </c>
      <c r="T616">
        <f>IF(AND(H616="Yes",L616&lt;&gt;"Government"),G616*(_xlfn.XLOOKUP(B616,Summary!$C$10:$C$15,Summary!$B$10:$B$15)),0)</f>
        <v>122388</v>
      </c>
    </row>
    <row r="617" spans="1:20" x14ac:dyDescent="0.25">
      <c r="A617">
        <v>20587</v>
      </c>
      <c r="B617" t="s">
        <v>29</v>
      </c>
      <c r="C617" t="s">
        <v>25</v>
      </c>
      <c r="D617" s="11">
        <v>1563</v>
      </c>
      <c r="E617">
        <v>3.34</v>
      </c>
      <c r="F617">
        <v>5</v>
      </c>
      <c r="G617">
        <f t="shared" si="63"/>
        <v>7815</v>
      </c>
      <c r="H617" t="s">
        <v>72</v>
      </c>
      <c r="J617" s="9">
        <v>45121</v>
      </c>
      <c r="K617" t="s">
        <v>40</v>
      </c>
      <c r="L617" t="s">
        <v>24</v>
      </c>
      <c r="M617" t="str">
        <f t="shared" si="64"/>
        <v>Public Sector</v>
      </c>
      <c r="N617" t="str">
        <f t="shared" si="65"/>
        <v>Large Order</v>
      </c>
      <c r="O617">
        <f t="shared" si="66"/>
        <v>0</v>
      </c>
      <c r="P617">
        <f t="shared" si="67"/>
        <v>0</v>
      </c>
      <c r="Q617" t="b">
        <f t="shared" si="68"/>
        <v>0</v>
      </c>
      <c r="R617">
        <f t="shared" si="69"/>
        <v>0</v>
      </c>
      <c r="S617" s="14">
        <f>_xlfn.XLOOKUP(B617,Summary!$C$10:$C$15,Summary!$B$10:$B$15)</f>
        <v>0.22</v>
      </c>
      <c r="T617">
        <f>IF(AND(H617="Yes",L617&lt;&gt;"Government"),G617*(_xlfn.XLOOKUP(B617,Summary!$C$10:$C$15,Summary!$B$10:$B$15)),0)</f>
        <v>0</v>
      </c>
    </row>
    <row r="618" spans="1:20" x14ac:dyDescent="0.25">
      <c r="A618">
        <v>97483</v>
      </c>
      <c r="B618" t="s">
        <v>32</v>
      </c>
      <c r="C618" t="s">
        <v>30</v>
      </c>
      <c r="D618" s="11">
        <v>1460</v>
      </c>
      <c r="E618">
        <v>5.38</v>
      </c>
      <c r="F618">
        <v>8</v>
      </c>
      <c r="G618">
        <f t="shared" si="63"/>
        <v>11680</v>
      </c>
      <c r="H618" t="s">
        <v>71</v>
      </c>
      <c r="J618" s="9">
        <v>45619</v>
      </c>
      <c r="K618" t="s">
        <v>40</v>
      </c>
      <c r="L618" t="s">
        <v>24</v>
      </c>
      <c r="M618" t="str">
        <f t="shared" si="64"/>
        <v>Public Sector</v>
      </c>
      <c r="N618" t="str">
        <f t="shared" si="65"/>
        <v>Small Order</v>
      </c>
      <c r="O618">
        <f t="shared" si="66"/>
        <v>2686.4</v>
      </c>
      <c r="P618">
        <f t="shared" si="67"/>
        <v>0</v>
      </c>
      <c r="Q618" t="b">
        <f t="shared" si="68"/>
        <v>0</v>
      </c>
      <c r="R618">
        <f t="shared" si="69"/>
        <v>0</v>
      </c>
      <c r="S618" s="14">
        <f>_xlfn.XLOOKUP(B618,Summary!$C$10:$C$15,Summary!$B$10:$B$15)</f>
        <v>0.23</v>
      </c>
      <c r="T618">
        <f>IF(AND(H618="Yes",L618&lt;&gt;"Government"),G618*(_xlfn.XLOOKUP(B618,Summary!$C$10:$C$15,Summary!$B$10:$B$15)),0)</f>
        <v>0</v>
      </c>
    </row>
    <row r="619" spans="1:20" x14ac:dyDescent="0.25">
      <c r="A619">
        <v>36340</v>
      </c>
      <c r="B619" t="s">
        <v>44</v>
      </c>
      <c r="C619" t="s">
        <v>36</v>
      </c>
      <c r="D619" s="11">
        <v>2009</v>
      </c>
      <c r="E619">
        <v>120.92</v>
      </c>
      <c r="F619">
        <v>175</v>
      </c>
      <c r="G619">
        <f t="shared" si="63"/>
        <v>351575</v>
      </c>
      <c r="H619" t="s">
        <v>71</v>
      </c>
      <c r="J619" s="9">
        <v>45283</v>
      </c>
      <c r="K619" t="s">
        <v>39</v>
      </c>
      <c r="L619" t="s">
        <v>33</v>
      </c>
      <c r="M619" t="str">
        <f t="shared" si="64"/>
        <v>Private Industry</v>
      </c>
      <c r="N619" t="str">
        <f t="shared" si="65"/>
        <v>Large Order</v>
      </c>
      <c r="O619">
        <f t="shared" si="66"/>
        <v>80862.25</v>
      </c>
      <c r="P619">
        <f t="shared" si="67"/>
        <v>80862.25</v>
      </c>
      <c r="Q619" t="b">
        <f t="shared" si="68"/>
        <v>1</v>
      </c>
      <c r="R619">
        <f t="shared" si="69"/>
        <v>80862.25</v>
      </c>
      <c r="S619" s="14">
        <f>_xlfn.XLOOKUP(B619,Summary!$C$10:$C$15,Summary!$B$10:$B$15)</f>
        <v>0.2</v>
      </c>
      <c r="T619">
        <f>IF(AND(H619="Yes",L619&lt;&gt;"Government"),G619*(_xlfn.XLOOKUP(B619,Summary!$C$10:$C$15,Summary!$B$10:$B$15)),0)</f>
        <v>70315</v>
      </c>
    </row>
    <row r="620" spans="1:20" x14ac:dyDescent="0.25">
      <c r="A620">
        <v>21634</v>
      </c>
      <c r="B620" t="s">
        <v>32</v>
      </c>
      <c r="C620" t="s">
        <v>36</v>
      </c>
      <c r="D620" s="11">
        <v>2665</v>
      </c>
      <c r="E620">
        <v>120.2</v>
      </c>
      <c r="F620">
        <v>127</v>
      </c>
      <c r="G620">
        <f t="shared" si="63"/>
        <v>338455</v>
      </c>
      <c r="H620" t="s">
        <v>71</v>
      </c>
      <c r="J620" s="9">
        <v>45733</v>
      </c>
      <c r="K620" t="s">
        <v>41</v>
      </c>
      <c r="L620" t="s">
        <v>24</v>
      </c>
      <c r="M620" t="str">
        <f t="shared" si="64"/>
        <v>Public Sector</v>
      </c>
      <c r="N620" t="str">
        <f t="shared" si="65"/>
        <v>Large Order</v>
      </c>
      <c r="O620">
        <f t="shared" si="66"/>
        <v>77844.650000000009</v>
      </c>
      <c r="P620">
        <f t="shared" si="67"/>
        <v>0</v>
      </c>
      <c r="Q620" t="b">
        <f t="shared" si="68"/>
        <v>0</v>
      </c>
      <c r="R620">
        <f t="shared" si="69"/>
        <v>0</v>
      </c>
      <c r="S620" s="14">
        <f>_xlfn.XLOOKUP(B620,Summary!$C$10:$C$15,Summary!$B$10:$B$15)</f>
        <v>0.23</v>
      </c>
      <c r="T620">
        <f>IF(AND(H620="Yes",L620&lt;&gt;"Government"),G620*(_xlfn.XLOOKUP(B620,Summary!$C$10:$C$15,Summary!$B$10:$B$15)),0)</f>
        <v>0</v>
      </c>
    </row>
    <row r="621" spans="1:20" x14ac:dyDescent="0.25">
      <c r="A621">
        <v>44863</v>
      </c>
      <c r="B621" t="s">
        <v>44</v>
      </c>
      <c r="C621" t="s">
        <v>35</v>
      </c>
      <c r="D621" s="11">
        <v>4251</v>
      </c>
      <c r="E621">
        <v>10.039999999999999</v>
      </c>
      <c r="F621">
        <v>12</v>
      </c>
      <c r="G621">
        <f t="shared" si="63"/>
        <v>51012</v>
      </c>
      <c r="H621" t="s">
        <v>71</v>
      </c>
      <c r="J621" s="9">
        <v>45684</v>
      </c>
      <c r="K621" t="s">
        <v>39</v>
      </c>
      <c r="L621" t="s">
        <v>24</v>
      </c>
      <c r="M621" t="str">
        <f t="shared" si="64"/>
        <v>Public Sector</v>
      </c>
      <c r="N621" t="str">
        <f t="shared" si="65"/>
        <v>Large Order</v>
      </c>
      <c r="O621">
        <f t="shared" si="66"/>
        <v>11732.76</v>
      </c>
      <c r="P621">
        <f t="shared" si="67"/>
        <v>0</v>
      </c>
      <c r="Q621" t="b">
        <f t="shared" si="68"/>
        <v>0</v>
      </c>
      <c r="R621">
        <f t="shared" si="69"/>
        <v>0</v>
      </c>
      <c r="S621" s="14">
        <f>_xlfn.XLOOKUP(B621,Summary!$C$10:$C$15,Summary!$B$10:$B$15)</f>
        <v>0.2</v>
      </c>
      <c r="T621">
        <f>IF(AND(H621="Yes",L621&lt;&gt;"Government"),G621*(_xlfn.XLOOKUP(B621,Summary!$C$10:$C$15,Summary!$B$10:$B$15)),0)</f>
        <v>0</v>
      </c>
    </row>
    <row r="622" spans="1:20" x14ac:dyDescent="0.25">
      <c r="A622">
        <v>60622</v>
      </c>
      <c r="B622" t="s">
        <v>44</v>
      </c>
      <c r="C622" t="s">
        <v>38</v>
      </c>
      <c r="D622" s="11">
        <v>888</v>
      </c>
      <c r="E622">
        <v>260.93</v>
      </c>
      <c r="F622">
        <v>348</v>
      </c>
      <c r="G622">
        <f t="shared" si="63"/>
        <v>309024</v>
      </c>
      <c r="H622" t="s">
        <v>71</v>
      </c>
      <c r="J622" s="9">
        <v>45765</v>
      </c>
      <c r="K622" t="s">
        <v>41</v>
      </c>
      <c r="L622" t="s">
        <v>34</v>
      </c>
      <c r="M622" t="str">
        <f t="shared" si="64"/>
        <v>Private Industry</v>
      </c>
      <c r="N622" t="str">
        <f t="shared" si="65"/>
        <v>Small Order</v>
      </c>
      <c r="O622">
        <f t="shared" si="66"/>
        <v>71075.520000000004</v>
      </c>
      <c r="P622">
        <f t="shared" si="67"/>
        <v>71075.520000000004</v>
      </c>
      <c r="Q622" t="b">
        <f t="shared" si="68"/>
        <v>1</v>
      </c>
      <c r="R622">
        <f t="shared" si="69"/>
        <v>71075.520000000004</v>
      </c>
      <c r="S622" s="14">
        <f>_xlfn.XLOOKUP(B622,Summary!$C$10:$C$15,Summary!$B$10:$B$15)</f>
        <v>0.2</v>
      </c>
      <c r="T622">
        <f>IF(AND(H622="Yes",L622&lt;&gt;"Government"),G622*(_xlfn.XLOOKUP(B622,Summary!$C$10:$C$15,Summary!$B$10:$B$15)),0)</f>
        <v>61804.800000000003</v>
      </c>
    </row>
    <row r="623" spans="1:20" x14ac:dyDescent="0.25">
      <c r="A623">
        <v>39556</v>
      </c>
      <c r="B623" t="s">
        <v>43</v>
      </c>
      <c r="C623" t="s">
        <v>30</v>
      </c>
      <c r="D623" s="11">
        <v>2031</v>
      </c>
      <c r="E623">
        <v>5.95</v>
      </c>
      <c r="F623">
        <v>9</v>
      </c>
      <c r="G623">
        <f t="shared" si="63"/>
        <v>18279</v>
      </c>
      <c r="H623" t="s">
        <v>71</v>
      </c>
      <c r="J623" s="9">
        <v>45299</v>
      </c>
      <c r="K623" t="s">
        <v>39</v>
      </c>
      <c r="L623" t="s">
        <v>28</v>
      </c>
      <c r="M623" t="str">
        <f t="shared" si="64"/>
        <v>Private Industry</v>
      </c>
      <c r="N623" t="str">
        <f t="shared" si="65"/>
        <v>Large Order</v>
      </c>
      <c r="O623">
        <f t="shared" si="66"/>
        <v>4204.17</v>
      </c>
      <c r="P623">
        <f t="shared" si="67"/>
        <v>4204.17</v>
      </c>
      <c r="Q623" t="b">
        <f t="shared" si="68"/>
        <v>1</v>
      </c>
      <c r="R623">
        <f t="shared" si="69"/>
        <v>4204.17</v>
      </c>
      <c r="S623" s="14">
        <f>_xlfn.XLOOKUP(B623,Summary!$C$10:$C$15,Summary!$B$10:$B$15)</f>
        <v>0.21</v>
      </c>
      <c r="T623">
        <f>IF(AND(H623="Yes",L623&lt;&gt;"Government"),G623*(_xlfn.XLOOKUP(B623,Summary!$C$10:$C$15,Summary!$B$10:$B$15)),0)</f>
        <v>3838.5899999999997</v>
      </c>
    </row>
    <row r="624" spans="1:20" x14ac:dyDescent="0.25">
      <c r="A624">
        <v>88352</v>
      </c>
      <c r="B624" t="s">
        <v>44</v>
      </c>
      <c r="C624" t="s">
        <v>35</v>
      </c>
      <c r="D624" s="11">
        <v>1404</v>
      </c>
      <c r="E624">
        <v>10.62</v>
      </c>
      <c r="F624">
        <v>14</v>
      </c>
      <c r="G624">
        <f t="shared" si="63"/>
        <v>19656</v>
      </c>
      <c r="H624" t="s">
        <v>72</v>
      </c>
      <c r="J624" s="9">
        <v>45359</v>
      </c>
      <c r="K624" t="s">
        <v>40</v>
      </c>
      <c r="L624" t="s">
        <v>34</v>
      </c>
      <c r="M624" t="str">
        <f t="shared" si="64"/>
        <v>Private Industry</v>
      </c>
      <c r="N624" t="str">
        <f t="shared" si="65"/>
        <v>Small Order</v>
      </c>
      <c r="O624">
        <f t="shared" si="66"/>
        <v>0</v>
      </c>
      <c r="P624">
        <f t="shared" si="67"/>
        <v>0</v>
      </c>
      <c r="Q624" t="b">
        <f t="shared" si="68"/>
        <v>0</v>
      </c>
      <c r="R624">
        <f t="shared" si="69"/>
        <v>0</v>
      </c>
      <c r="S624" s="14">
        <f>_xlfn.XLOOKUP(B624,Summary!$C$10:$C$15,Summary!$B$10:$B$15)</f>
        <v>0.2</v>
      </c>
      <c r="T624">
        <f>IF(AND(H624="Yes",L624&lt;&gt;"Government"),G624*(_xlfn.XLOOKUP(B624,Summary!$C$10:$C$15,Summary!$B$10:$B$15)),0)</f>
        <v>0</v>
      </c>
    </row>
    <row r="625" spans="1:20" x14ac:dyDescent="0.25">
      <c r="A625">
        <v>32859</v>
      </c>
      <c r="B625" t="s">
        <v>32</v>
      </c>
      <c r="C625" t="s">
        <v>38</v>
      </c>
      <c r="D625" s="11">
        <v>1366</v>
      </c>
      <c r="E625">
        <v>260.81</v>
      </c>
      <c r="F625">
        <v>285</v>
      </c>
      <c r="G625">
        <f t="shared" si="63"/>
        <v>389310</v>
      </c>
      <c r="H625" t="s">
        <v>72</v>
      </c>
      <c r="J625" s="9">
        <v>45330</v>
      </c>
      <c r="K625" t="s">
        <v>40</v>
      </c>
      <c r="L625" t="s">
        <v>24</v>
      </c>
      <c r="M625" t="str">
        <f t="shared" si="64"/>
        <v>Public Sector</v>
      </c>
      <c r="N625" t="str">
        <f t="shared" si="65"/>
        <v>Small Order</v>
      </c>
      <c r="O625">
        <f t="shared" si="66"/>
        <v>0</v>
      </c>
      <c r="P625">
        <f t="shared" si="67"/>
        <v>0</v>
      </c>
      <c r="Q625" t="b">
        <f t="shared" si="68"/>
        <v>0</v>
      </c>
      <c r="R625">
        <f t="shared" si="69"/>
        <v>0</v>
      </c>
      <c r="S625" s="14">
        <f>_xlfn.XLOOKUP(B625,Summary!$C$10:$C$15,Summary!$B$10:$B$15)</f>
        <v>0.23</v>
      </c>
      <c r="T625">
        <f>IF(AND(H625="Yes",L625&lt;&gt;"Government"),G625*(_xlfn.XLOOKUP(B625,Summary!$C$10:$C$15,Summary!$B$10:$B$15)),0)</f>
        <v>0</v>
      </c>
    </row>
    <row r="626" spans="1:20" x14ac:dyDescent="0.25">
      <c r="A626">
        <v>62741</v>
      </c>
      <c r="B626" t="s">
        <v>32</v>
      </c>
      <c r="C626" t="s">
        <v>35</v>
      </c>
      <c r="D626" s="11">
        <v>1583</v>
      </c>
      <c r="E626">
        <v>10.9</v>
      </c>
      <c r="F626">
        <v>15</v>
      </c>
      <c r="G626">
        <f t="shared" si="63"/>
        <v>23745</v>
      </c>
      <c r="H626" t="s">
        <v>72</v>
      </c>
      <c r="J626" s="9">
        <v>45582</v>
      </c>
      <c r="K626" t="s">
        <v>41</v>
      </c>
      <c r="L626" t="s">
        <v>33</v>
      </c>
      <c r="M626" t="str">
        <f t="shared" si="64"/>
        <v>Private Industry</v>
      </c>
      <c r="N626" t="str">
        <f t="shared" si="65"/>
        <v>Large Order</v>
      </c>
      <c r="O626">
        <f t="shared" si="66"/>
        <v>0</v>
      </c>
      <c r="P626">
        <f t="shared" si="67"/>
        <v>0</v>
      </c>
      <c r="Q626" t="b">
        <f t="shared" si="68"/>
        <v>0</v>
      </c>
      <c r="R626">
        <f t="shared" si="69"/>
        <v>0</v>
      </c>
      <c r="S626" s="14">
        <f>_xlfn.XLOOKUP(B626,Summary!$C$10:$C$15,Summary!$B$10:$B$15)</f>
        <v>0.23</v>
      </c>
      <c r="T626">
        <f>IF(AND(H626="Yes",L626&lt;&gt;"Government"),G626*(_xlfn.XLOOKUP(B626,Summary!$C$10:$C$15,Summary!$B$10:$B$15)),0)</f>
        <v>0</v>
      </c>
    </row>
    <row r="627" spans="1:20" x14ac:dyDescent="0.25">
      <c r="A627">
        <v>28659</v>
      </c>
      <c r="B627" t="s">
        <v>29</v>
      </c>
      <c r="C627" t="s">
        <v>35</v>
      </c>
      <c r="D627" s="11">
        <v>1922</v>
      </c>
      <c r="E627">
        <v>10.06</v>
      </c>
      <c r="F627">
        <v>11</v>
      </c>
      <c r="G627">
        <f t="shared" si="63"/>
        <v>21142</v>
      </c>
      <c r="H627" t="s">
        <v>72</v>
      </c>
      <c r="J627" s="9">
        <v>45489</v>
      </c>
      <c r="K627" t="s">
        <v>41</v>
      </c>
      <c r="L627" t="s">
        <v>24</v>
      </c>
      <c r="M627" t="str">
        <f t="shared" si="64"/>
        <v>Public Sector</v>
      </c>
      <c r="N627" t="str">
        <f t="shared" si="65"/>
        <v>Large Order</v>
      </c>
      <c r="O627">
        <f t="shared" si="66"/>
        <v>0</v>
      </c>
      <c r="P627">
        <f t="shared" si="67"/>
        <v>0</v>
      </c>
      <c r="Q627" t="b">
        <f t="shared" si="68"/>
        <v>0</v>
      </c>
      <c r="R627">
        <f t="shared" si="69"/>
        <v>0</v>
      </c>
      <c r="S627" s="14">
        <f>_xlfn.XLOOKUP(B627,Summary!$C$10:$C$15,Summary!$B$10:$B$15)</f>
        <v>0.22</v>
      </c>
      <c r="T627">
        <f>IF(AND(H627="Yes",L627&lt;&gt;"Government"),G627*(_xlfn.XLOOKUP(B627,Summary!$C$10:$C$15,Summary!$B$10:$B$15)),0)</f>
        <v>0</v>
      </c>
    </row>
    <row r="628" spans="1:20" x14ac:dyDescent="0.25">
      <c r="A628">
        <v>51630</v>
      </c>
      <c r="B628" t="s">
        <v>27</v>
      </c>
      <c r="C628" t="s">
        <v>37</v>
      </c>
      <c r="D628" s="11">
        <v>2877</v>
      </c>
      <c r="E628">
        <v>250.88</v>
      </c>
      <c r="F628">
        <v>364</v>
      </c>
      <c r="G628">
        <f t="shared" si="63"/>
        <v>1047228</v>
      </c>
      <c r="H628" t="s">
        <v>71</v>
      </c>
      <c r="J628" s="9">
        <v>45519</v>
      </c>
      <c r="K628" t="s">
        <v>39</v>
      </c>
      <c r="L628" t="s">
        <v>24</v>
      </c>
      <c r="M628" t="str">
        <f t="shared" si="64"/>
        <v>Public Sector</v>
      </c>
      <c r="N628" t="str">
        <f t="shared" si="65"/>
        <v>Large Order</v>
      </c>
      <c r="O628">
        <f t="shared" si="66"/>
        <v>240862.44</v>
      </c>
      <c r="P628">
        <f t="shared" si="67"/>
        <v>0</v>
      </c>
      <c r="Q628" t="b">
        <f t="shared" si="68"/>
        <v>0</v>
      </c>
      <c r="R628">
        <f t="shared" si="69"/>
        <v>0</v>
      </c>
      <c r="S628" s="14">
        <f>_xlfn.XLOOKUP(B628,Summary!$C$10:$C$15,Summary!$B$10:$B$15)</f>
        <v>0.19</v>
      </c>
      <c r="T628">
        <f>IF(AND(H628="Yes",L628&lt;&gt;"Government"),G628*(_xlfn.XLOOKUP(B628,Summary!$C$10:$C$15,Summary!$B$10:$B$15)),0)</f>
        <v>0</v>
      </c>
    </row>
    <row r="629" spans="1:20" x14ac:dyDescent="0.25">
      <c r="A629">
        <v>63544</v>
      </c>
      <c r="B629" t="s">
        <v>27</v>
      </c>
      <c r="C629" t="s">
        <v>38</v>
      </c>
      <c r="D629" s="11">
        <v>4219</v>
      </c>
      <c r="E629">
        <v>260.95999999999998</v>
      </c>
      <c r="F629">
        <v>387</v>
      </c>
      <c r="G629">
        <f t="shared" si="63"/>
        <v>1632753</v>
      </c>
      <c r="H629" t="s">
        <v>71</v>
      </c>
      <c r="J629" s="9">
        <v>45149</v>
      </c>
      <c r="K629" t="s">
        <v>26</v>
      </c>
      <c r="L629" t="s">
        <v>33</v>
      </c>
      <c r="M629" t="str">
        <f t="shared" si="64"/>
        <v>Private Industry</v>
      </c>
      <c r="N629" t="str">
        <f t="shared" si="65"/>
        <v>Large Order</v>
      </c>
      <c r="O629">
        <f t="shared" si="66"/>
        <v>375533.19</v>
      </c>
      <c r="P629">
        <f t="shared" si="67"/>
        <v>375533.19</v>
      </c>
      <c r="Q629" t="b">
        <f t="shared" si="68"/>
        <v>1</v>
      </c>
      <c r="R629">
        <f t="shared" si="69"/>
        <v>375533.19</v>
      </c>
      <c r="S629" s="14">
        <f>_xlfn.XLOOKUP(B629,Summary!$C$10:$C$15,Summary!$B$10:$B$15)</f>
        <v>0.19</v>
      </c>
      <c r="T629">
        <f>IF(AND(H629="Yes",L629&lt;&gt;"Government"),G629*(_xlfn.XLOOKUP(B629,Summary!$C$10:$C$15,Summary!$B$10:$B$15)),0)</f>
        <v>310223.07</v>
      </c>
    </row>
    <row r="630" spans="1:20" x14ac:dyDescent="0.25">
      <c r="A630">
        <v>18473</v>
      </c>
      <c r="B630" t="s">
        <v>44</v>
      </c>
      <c r="C630" t="s">
        <v>25</v>
      </c>
      <c r="D630" s="11">
        <v>2689</v>
      </c>
      <c r="E630">
        <v>3.23</v>
      </c>
      <c r="F630">
        <v>5</v>
      </c>
      <c r="G630">
        <f t="shared" si="63"/>
        <v>13445</v>
      </c>
      <c r="H630" t="s">
        <v>72</v>
      </c>
      <c r="J630" s="9">
        <v>45470</v>
      </c>
      <c r="K630" t="s">
        <v>41</v>
      </c>
      <c r="L630" t="s">
        <v>28</v>
      </c>
      <c r="M630" t="str">
        <f t="shared" si="64"/>
        <v>Private Industry</v>
      </c>
      <c r="N630" t="str">
        <f t="shared" si="65"/>
        <v>Large Order</v>
      </c>
      <c r="O630">
        <f t="shared" si="66"/>
        <v>0</v>
      </c>
      <c r="P630">
        <f t="shared" si="67"/>
        <v>0</v>
      </c>
      <c r="Q630" t="b">
        <f t="shared" si="68"/>
        <v>0</v>
      </c>
      <c r="R630">
        <f t="shared" si="69"/>
        <v>0</v>
      </c>
      <c r="S630" s="14">
        <f>_xlfn.XLOOKUP(B630,Summary!$C$10:$C$15,Summary!$B$10:$B$15)</f>
        <v>0.2</v>
      </c>
      <c r="T630">
        <f>IF(AND(H630="Yes",L630&lt;&gt;"Government"),G630*(_xlfn.XLOOKUP(B630,Summary!$C$10:$C$15,Summary!$B$10:$B$15)),0)</f>
        <v>0</v>
      </c>
    </row>
    <row r="631" spans="1:20" x14ac:dyDescent="0.25">
      <c r="A631">
        <v>62932</v>
      </c>
      <c r="B631" t="s">
        <v>43</v>
      </c>
      <c r="C631" t="s">
        <v>35</v>
      </c>
      <c r="D631" s="11">
        <v>3675</v>
      </c>
      <c r="E631">
        <v>10.7</v>
      </c>
      <c r="F631">
        <v>16</v>
      </c>
      <c r="G631">
        <f t="shared" si="63"/>
        <v>58800</v>
      </c>
      <c r="H631" t="s">
        <v>71</v>
      </c>
      <c r="J631" s="9">
        <v>45774</v>
      </c>
      <c r="K631" t="s">
        <v>40</v>
      </c>
      <c r="L631" t="s">
        <v>28</v>
      </c>
      <c r="M631" t="str">
        <f t="shared" si="64"/>
        <v>Private Industry</v>
      </c>
      <c r="N631" t="str">
        <f t="shared" si="65"/>
        <v>Large Order</v>
      </c>
      <c r="O631">
        <f t="shared" si="66"/>
        <v>13524</v>
      </c>
      <c r="P631">
        <f t="shared" si="67"/>
        <v>13524</v>
      </c>
      <c r="Q631" t="b">
        <f t="shared" si="68"/>
        <v>1</v>
      </c>
      <c r="R631">
        <f t="shared" si="69"/>
        <v>13524</v>
      </c>
      <c r="S631" s="14">
        <f>_xlfn.XLOOKUP(B631,Summary!$C$10:$C$15,Summary!$B$10:$B$15)</f>
        <v>0.21</v>
      </c>
      <c r="T631">
        <f>IF(AND(H631="Yes",L631&lt;&gt;"Government"),G631*(_xlfn.XLOOKUP(B631,Summary!$C$10:$C$15,Summary!$B$10:$B$15)),0)</f>
        <v>12348</v>
      </c>
    </row>
    <row r="632" spans="1:20" x14ac:dyDescent="0.25">
      <c r="A632">
        <v>75656</v>
      </c>
      <c r="B632" t="s">
        <v>43</v>
      </c>
      <c r="C632" t="s">
        <v>25</v>
      </c>
      <c r="D632" s="11">
        <v>330</v>
      </c>
      <c r="E632">
        <v>3.5</v>
      </c>
      <c r="F632">
        <v>4</v>
      </c>
      <c r="G632">
        <f t="shared" si="63"/>
        <v>1320</v>
      </c>
      <c r="H632" t="s">
        <v>72</v>
      </c>
      <c r="J632" s="9">
        <v>45186</v>
      </c>
      <c r="K632" t="s">
        <v>39</v>
      </c>
      <c r="L632" t="s">
        <v>33</v>
      </c>
      <c r="M632" t="str">
        <f t="shared" si="64"/>
        <v>Private Industry</v>
      </c>
      <c r="N632" t="str">
        <f t="shared" si="65"/>
        <v>Small Order</v>
      </c>
      <c r="O632">
        <f t="shared" si="66"/>
        <v>0</v>
      </c>
      <c r="P632">
        <f t="shared" si="67"/>
        <v>0</v>
      </c>
      <c r="Q632" t="b">
        <f t="shared" si="68"/>
        <v>0</v>
      </c>
      <c r="R632">
        <f t="shared" si="69"/>
        <v>0</v>
      </c>
      <c r="S632" s="14">
        <f>_xlfn.XLOOKUP(B632,Summary!$C$10:$C$15,Summary!$B$10:$B$15)</f>
        <v>0.21</v>
      </c>
      <c r="T632">
        <f>IF(AND(H632="Yes",L632&lt;&gt;"Government"),G632*(_xlfn.XLOOKUP(B632,Summary!$C$10:$C$15,Summary!$B$10:$B$15)),0)</f>
        <v>0</v>
      </c>
    </row>
    <row r="633" spans="1:20" x14ac:dyDescent="0.25">
      <c r="A633">
        <v>72877</v>
      </c>
      <c r="B633" t="s">
        <v>44</v>
      </c>
      <c r="C633" t="s">
        <v>30</v>
      </c>
      <c r="D633" s="11">
        <v>388</v>
      </c>
      <c r="E633">
        <v>5.35</v>
      </c>
      <c r="F633">
        <v>8</v>
      </c>
      <c r="G633">
        <f t="shared" si="63"/>
        <v>3104</v>
      </c>
      <c r="H633" t="s">
        <v>72</v>
      </c>
      <c r="J633" s="9">
        <v>45126</v>
      </c>
      <c r="K633" t="s">
        <v>41</v>
      </c>
      <c r="L633" t="s">
        <v>24</v>
      </c>
      <c r="M633" t="str">
        <f t="shared" si="64"/>
        <v>Public Sector</v>
      </c>
      <c r="N633" t="str">
        <f t="shared" si="65"/>
        <v>Small Order</v>
      </c>
      <c r="O633">
        <f t="shared" si="66"/>
        <v>0</v>
      </c>
      <c r="P633">
        <f t="shared" si="67"/>
        <v>0</v>
      </c>
      <c r="Q633" t="b">
        <f t="shared" si="68"/>
        <v>0</v>
      </c>
      <c r="R633">
        <f t="shared" si="69"/>
        <v>0</v>
      </c>
      <c r="S633" s="14">
        <f>_xlfn.XLOOKUP(B633,Summary!$C$10:$C$15,Summary!$B$10:$B$15)</f>
        <v>0.2</v>
      </c>
      <c r="T633">
        <f>IF(AND(H633="Yes",L633&lt;&gt;"Government"),G633*(_xlfn.XLOOKUP(B633,Summary!$C$10:$C$15,Summary!$B$10:$B$15)),0)</f>
        <v>0</v>
      </c>
    </row>
    <row r="634" spans="1:20" x14ac:dyDescent="0.25">
      <c r="A634">
        <v>11851</v>
      </c>
      <c r="B634" t="s">
        <v>32</v>
      </c>
      <c r="C634" t="s">
        <v>37</v>
      </c>
      <c r="D634" s="11">
        <v>1265</v>
      </c>
      <c r="E634">
        <v>250.82</v>
      </c>
      <c r="F634">
        <v>372</v>
      </c>
      <c r="G634">
        <f t="shared" si="63"/>
        <v>470580</v>
      </c>
      <c r="H634" t="s">
        <v>72</v>
      </c>
      <c r="J634" s="9">
        <v>45624</v>
      </c>
      <c r="K634" t="s">
        <v>40</v>
      </c>
      <c r="L634" t="s">
        <v>24</v>
      </c>
      <c r="M634" t="str">
        <f t="shared" si="64"/>
        <v>Public Sector</v>
      </c>
      <c r="N634" t="str">
        <f t="shared" si="65"/>
        <v>Small Order</v>
      </c>
      <c r="O634">
        <f t="shared" si="66"/>
        <v>0</v>
      </c>
      <c r="P634">
        <f t="shared" si="67"/>
        <v>0</v>
      </c>
      <c r="Q634" t="b">
        <f t="shared" si="68"/>
        <v>0</v>
      </c>
      <c r="R634">
        <f t="shared" si="69"/>
        <v>0</v>
      </c>
      <c r="S634" s="14">
        <f>_xlfn.XLOOKUP(B634,Summary!$C$10:$C$15,Summary!$B$10:$B$15)</f>
        <v>0.23</v>
      </c>
      <c r="T634">
        <f>IF(AND(H634="Yes",L634&lt;&gt;"Government"),G634*(_xlfn.XLOOKUP(B634,Summary!$C$10:$C$15,Summary!$B$10:$B$15)),0)</f>
        <v>0</v>
      </c>
    </row>
    <row r="635" spans="1:20" x14ac:dyDescent="0.25">
      <c r="A635">
        <v>12263</v>
      </c>
      <c r="B635" t="s">
        <v>27</v>
      </c>
      <c r="C635" t="s">
        <v>37</v>
      </c>
      <c r="D635" s="11">
        <v>880</v>
      </c>
      <c r="E635">
        <v>250.86</v>
      </c>
      <c r="F635">
        <v>354</v>
      </c>
      <c r="G635">
        <f t="shared" si="63"/>
        <v>311520</v>
      </c>
      <c r="H635" t="s">
        <v>71</v>
      </c>
      <c r="J635" s="9">
        <v>45333</v>
      </c>
      <c r="K635" t="s">
        <v>40</v>
      </c>
      <c r="L635" t="s">
        <v>31</v>
      </c>
      <c r="M635" t="str">
        <f t="shared" si="64"/>
        <v>Private Industry</v>
      </c>
      <c r="N635" t="str">
        <f t="shared" si="65"/>
        <v>Small Order</v>
      </c>
      <c r="O635">
        <f t="shared" si="66"/>
        <v>71649.600000000006</v>
      </c>
      <c r="P635">
        <f t="shared" si="67"/>
        <v>71649.600000000006</v>
      </c>
      <c r="Q635" t="b">
        <f t="shared" si="68"/>
        <v>1</v>
      </c>
      <c r="R635">
        <f t="shared" si="69"/>
        <v>71649.600000000006</v>
      </c>
      <c r="S635" s="14">
        <f>_xlfn.XLOOKUP(B635,Summary!$C$10:$C$15,Summary!$B$10:$B$15)</f>
        <v>0.19</v>
      </c>
      <c r="T635">
        <f>IF(AND(H635="Yes",L635&lt;&gt;"Government"),G635*(_xlfn.XLOOKUP(B635,Summary!$C$10:$C$15,Summary!$B$10:$B$15)),0)</f>
        <v>59188.800000000003</v>
      </c>
    </row>
    <row r="636" spans="1:20" x14ac:dyDescent="0.25">
      <c r="A636">
        <v>94979</v>
      </c>
      <c r="B636" t="s">
        <v>32</v>
      </c>
      <c r="C636" t="s">
        <v>35</v>
      </c>
      <c r="D636" s="11">
        <v>2145</v>
      </c>
      <c r="E636">
        <v>10.130000000000001</v>
      </c>
      <c r="F636">
        <v>14</v>
      </c>
      <c r="G636">
        <f t="shared" si="63"/>
        <v>30030</v>
      </c>
      <c r="H636" t="s">
        <v>71</v>
      </c>
      <c r="J636" s="9">
        <v>45378</v>
      </c>
      <c r="K636" t="s">
        <v>39</v>
      </c>
      <c r="L636" t="s">
        <v>33</v>
      </c>
      <c r="M636" t="str">
        <f t="shared" si="64"/>
        <v>Private Industry</v>
      </c>
      <c r="N636" t="str">
        <f t="shared" si="65"/>
        <v>Large Order</v>
      </c>
      <c r="O636">
        <f t="shared" si="66"/>
        <v>6906.9000000000005</v>
      </c>
      <c r="P636">
        <f t="shared" si="67"/>
        <v>6906.9000000000005</v>
      </c>
      <c r="Q636" t="b">
        <f t="shared" si="68"/>
        <v>1</v>
      </c>
      <c r="R636">
        <f t="shared" si="69"/>
        <v>6906.9000000000005</v>
      </c>
      <c r="S636" s="14">
        <f>_xlfn.XLOOKUP(B636,Summary!$C$10:$C$15,Summary!$B$10:$B$15)</f>
        <v>0.23</v>
      </c>
      <c r="T636">
        <f>IF(AND(H636="Yes",L636&lt;&gt;"Government"),G636*(_xlfn.XLOOKUP(B636,Summary!$C$10:$C$15,Summary!$B$10:$B$15)),0)</f>
        <v>6906.9000000000005</v>
      </c>
    </row>
    <row r="637" spans="1:20" x14ac:dyDescent="0.25">
      <c r="A637">
        <v>88024</v>
      </c>
      <c r="B637" t="s">
        <v>32</v>
      </c>
      <c r="C637" t="s">
        <v>37</v>
      </c>
      <c r="D637" s="11">
        <v>2954</v>
      </c>
      <c r="E637">
        <v>250.53</v>
      </c>
      <c r="F637">
        <v>309</v>
      </c>
      <c r="G637">
        <f t="shared" si="63"/>
        <v>912786</v>
      </c>
      <c r="H637" t="s">
        <v>71</v>
      </c>
      <c r="J637" s="9">
        <v>45461</v>
      </c>
      <c r="K637" t="s">
        <v>41</v>
      </c>
      <c r="L637" t="s">
        <v>33</v>
      </c>
      <c r="M637" t="str">
        <f t="shared" si="64"/>
        <v>Private Industry</v>
      </c>
      <c r="N637" t="str">
        <f t="shared" si="65"/>
        <v>Large Order</v>
      </c>
      <c r="O637">
        <f t="shared" si="66"/>
        <v>209940.78</v>
      </c>
      <c r="P637">
        <f t="shared" si="67"/>
        <v>209940.78</v>
      </c>
      <c r="Q637" t="b">
        <f t="shared" si="68"/>
        <v>1</v>
      </c>
      <c r="R637">
        <f t="shared" si="69"/>
        <v>209940.78</v>
      </c>
      <c r="S637" s="14">
        <f>_xlfn.XLOOKUP(B637,Summary!$C$10:$C$15,Summary!$B$10:$B$15)</f>
        <v>0.23</v>
      </c>
      <c r="T637">
        <f>IF(AND(H637="Yes",L637&lt;&gt;"Government"),G637*(_xlfn.XLOOKUP(B637,Summary!$C$10:$C$15,Summary!$B$10:$B$15)),0)</f>
        <v>209940.78</v>
      </c>
    </row>
    <row r="638" spans="1:20" x14ac:dyDescent="0.25">
      <c r="A638">
        <v>11171</v>
      </c>
      <c r="B638" t="s">
        <v>43</v>
      </c>
      <c r="C638" t="s">
        <v>35</v>
      </c>
      <c r="D638" s="11">
        <v>2797</v>
      </c>
      <c r="E638">
        <v>10.65</v>
      </c>
      <c r="F638">
        <v>11</v>
      </c>
      <c r="G638">
        <f t="shared" si="63"/>
        <v>30767</v>
      </c>
      <c r="H638" t="s">
        <v>72</v>
      </c>
      <c r="J638" s="9">
        <v>45391</v>
      </c>
      <c r="K638" t="s">
        <v>40</v>
      </c>
      <c r="L638" t="s">
        <v>33</v>
      </c>
      <c r="M638" t="str">
        <f t="shared" si="64"/>
        <v>Private Industry</v>
      </c>
      <c r="N638" t="str">
        <f t="shared" si="65"/>
        <v>Large Order</v>
      </c>
      <c r="O638">
        <f t="shared" si="66"/>
        <v>0</v>
      </c>
      <c r="P638">
        <f t="shared" si="67"/>
        <v>0</v>
      </c>
      <c r="Q638" t="b">
        <f t="shared" si="68"/>
        <v>0</v>
      </c>
      <c r="R638">
        <f t="shared" si="69"/>
        <v>0</v>
      </c>
      <c r="S638" s="14">
        <f>_xlfn.XLOOKUP(B638,Summary!$C$10:$C$15,Summary!$B$10:$B$15)</f>
        <v>0.21</v>
      </c>
      <c r="T638">
        <f>IF(AND(H638="Yes",L638&lt;&gt;"Government"),G638*(_xlfn.XLOOKUP(B638,Summary!$C$10:$C$15,Summary!$B$10:$B$15)),0)</f>
        <v>0</v>
      </c>
    </row>
    <row r="639" spans="1:20" x14ac:dyDescent="0.25">
      <c r="A639">
        <v>87185</v>
      </c>
      <c r="B639" t="s">
        <v>27</v>
      </c>
      <c r="C639" t="s">
        <v>37</v>
      </c>
      <c r="D639" s="11">
        <v>1175</v>
      </c>
      <c r="E639">
        <v>250.39</v>
      </c>
      <c r="F639">
        <v>364</v>
      </c>
      <c r="G639">
        <f t="shared" si="63"/>
        <v>427700</v>
      </c>
      <c r="H639" t="s">
        <v>72</v>
      </c>
      <c r="J639" s="9">
        <v>45374</v>
      </c>
      <c r="K639" t="s">
        <v>41</v>
      </c>
      <c r="L639" t="s">
        <v>28</v>
      </c>
      <c r="M639" t="str">
        <f t="shared" si="64"/>
        <v>Private Industry</v>
      </c>
      <c r="N639" t="str">
        <f t="shared" si="65"/>
        <v>Small Order</v>
      </c>
      <c r="O639">
        <f t="shared" si="66"/>
        <v>0</v>
      </c>
      <c r="P639">
        <f t="shared" si="67"/>
        <v>0</v>
      </c>
      <c r="Q639" t="b">
        <f t="shared" si="68"/>
        <v>0</v>
      </c>
      <c r="R639">
        <f t="shared" si="69"/>
        <v>0</v>
      </c>
      <c r="S639" s="14">
        <f>_xlfn.XLOOKUP(B639,Summary!$C$10:$C$15,Summary!$B$10:$B$15)</f>
        <v>0.19</v>
      </c>
      <c r="T639">
        <f>IF(AND(H639="Yes",L639&lt;&gt;"Government"),G639*(_xlfn.XLOOKUP(B639,Summary!$C$10:$C$15,Summary!$B$10:$B$15)),0)</f>
        <v>0</v>
      </c>
    </row>
    <row r="640" spans="1:20" x14ac:dyDescent="0.25">
      <c r="A640">
        <v>59526</v>
      </c>
      <c r="B640" t="s">
        <v>44</v>
      </c>
      <c r="C640" t="s">
        <v>35</v>
      </c>
      <c r="D640" s="11">
        <v>873</v>
      </c>
      <c r="E640">
        <v>10.199999999999999</v>
      </c>
      <c r="F640">
        <v>14</v>
      </c>
      <c r="G640">
        <f t="shared" si="63"/>
        <v>12222</v>
      </c>
      <c r="H640" t="s">
        <v>71</v>
      </c>
      <c r="J640" s="9">
        <v>45495</v>
      </c>
      <c r="K640" t="s">
        <v>41</v>
      </c>
      <c r="L640" t="s">
        <v>34</v>
      </c>
      <c r="M640" t="str">
        <f t="shared" si="64"/>
        <v>Private Industry</v>
      </c>
      <c r="N640" t="str">
        <f t="shared" si="65"/>
        <v>Small Order</v>
      </c>
      <c r="O640">
        <f t="shared" si="66"/>
        <v>2811.06</v>
      </c>
      <c r="P640">
        <f t="shared" si="67"/>
        <v>2811.06</v>
      </c>
      <c r="Q640" t="b">
        <f t="shared" si="68"/>
        <v>1</v>
      </c>
      <c r="R640">
        <f t="shared" si="69"/>
        <v>2811.06</v>
      </c>
      <c r="S640" s="14">
        <f>_xlfn.XLOOKUP(B640,Summary!$C$10:$C$15,Summary!$B$10:$B$15)</f>
        <v>0.2</v>
      </c>
      <c r="T640">
        <f>IF(AND(H640="Yes",L640&lt;&gt;"Government"),G640*(_xlfn.XLOOKUP(B640,Summary!$C$10:$C$15,Summary!$B$10:$B$15)),0)</f>
        <v>2444.4</v>
      </c>
    </row>
    <row r="641" spans="1:20" x14ac:dyDescent="0.25">
      <c r="A641">
        <v>12907</v>
      </c>
      <c r="B641" t="s">
        <v>44</v>
      </c>
      <c r="C641" t="s">
        <v>35</v>
      </c>
      <c r="D641" s="11">
        <v>2632</v>
      </c>
      <c r="E641">
        <v>10.02</v>
      </c>
      <c r="F641">
        <v>12</v>
      </c>
      <c r="G641">
        <f t="shared" si="63"/>
        <v>31584</v>
      </c>
      <c r="H641" t="s">
        <v>72</v>
      </c>
      <c r="J641" s="9">
        <v>45553</v>
      </c>
      <c r="K641" t="s">
        <v>41</v>
      </c>
      <c r="L641" t="s">
        <v>24</v>
      </c>
      <c r="M641" t="str">
        <f t="shared" si="64"/>
        <v>Public Sector</v>
      </c>
      <c r="N641" t="str">
        <f t="shared" si="65"/>
        <v>Large Order</v>
      </c>
      <c r="O641">
        <f t="shared" si="66"/>
        <v>0</v>
      </c>
      <c r="P641">
        <f t="shared" si="67"/>
        <v>0</v>
      </c>
      <c r="Q641" t="b">
        <f t="shared" si="68"/>
        <v>0</v>
      </c>
      <c r="R641">
        <f t="shared" si="69"/>
        <v>0</v>
      </c>
      <c r="S641" s="14">
        <f>_xlfn.XLOOKUP(B641,Summary!$C$10:$C$15,Summary!$B$10:$B$15)</f>
        <v>0.2</v>
      </c>
      <c r="T641">
        <f>IF(AND(H641="Yes",L641&lt;&gt;"Government"),G641*(_xlfn.XLOOKUP(B641,Summary!$C$10:$C$15,Summary!$B$10:$B$15)),0)</f>
        <v>0</v>
      </c>
    </row>
    <row r="642" spans="1:20" x14ac:dyDescent="0.25">
      <c r="A642">
        <v>77620</v>
      </c>
      <c r="B642" t="s">
        <v>43</v>
      </c>
      <c r="C642" t="s">
        <v>37</v>
      </c>
      <c r="D642" s="11">
        <v>1867</v>
      </c>
      <c r="E642">
        <v>250.28</v>
      </c>
      <c r="F642">
        <v>366</v>
      </c>
      <c r="G642">
        <f t="shared" si="63"/>
        <v>683322</v>
      </c>
      <c r="H642" t="s">
        <v>71</v>
      </c>
      <c r="J642" s="9">
        <v>45707</v>
      </c>
      <c r="K642" t="s">
        <v>40</v>
      </c>
      <c r="L642" t="s">
        <v>34</v>
      </c>
      <c r="M642" t="str">
        <f t="shared" si="64"/>
        <v>Private Industry</v>
      </c>
      <c r="N642" t="str">
        <f t="shared" si="65"/>
        <v>Large Order</v>
      </c>
      <c r="O642">
        <f t="shared" si="66"/>
        <v>157164.06</v>
      </c>
      <c r="P642">
        <f t="shared" si="67"/>
        <v>157164.06</v>
      </c>
      <c r="Q642" t="b">
        <f t="shared" si="68"/>
        <v>1</v>
      </c>
      <c r="R642">
        <f t="shared" si="69"/>
        <v>157164.06</v>
      </c>
      <c r="S642" s="14">
        <f>_xlfn.XLOOKUP(B642,Summary!$C$10:$C$15,Summary!$B$10:$B$15)</f>
        <v>0.21</v>
      </c>
      <c r="T642">
        <f>IF(AND(H642="Yes",L642&lt;&gt;"Government"),G642*(_xlfn.XLOOKUP(B642,Summary!$C$10:$C$15,Summary!$B$10:$B$15)),0)</f>
        <v>143497.62</v>
      </c>
    </row>
    <row r="643" spans="1:20" x14ac:dyDescent="0.25">
      <c r="A643">
        <v>48338</v>
      </c>
      <c r="B643" t="s">
        <v>44</v>
      </c>
      <c r="C643" t="s">
        <v>35</v>
      </c>
      <c r="D643" s="11">
        <v>1565</v>
      </c>
      <c r="E643">
        <v>10.47</v>
      </c>
      <c r="F643">
        <v>15</v>
      </c>
      <c r="G643">
        <f t="shared" ref="G643:G701" si="70">D643*F643</f>
        <v>23475</v>
      </c>
      <c r="H643" t="s">
        <v>72</v>
      </c>
      <c r="J643" s="9">
        <v>45586</v>
      </c>
      <c r="K643" t="s">
        <v>41</v>
      </c>
      <c r="L643" t="s">
        <v>28</v>
      </c>
      <c r="M643" t="str">
        <f t="shared" ref="M643:M701" si="71">IF(L643="Government","Public Sector","Private Industry")</f>
        <v>Private Industry</v>
      </c>
      <c r="N643" t="str">
        <f t="shared" ref="N643:N701" si="72">IF(D643&gt;1500,"Large Order","Small Order")</f>
        <v>Large Order</v>
      </c>
      <c r="O643">
        <f t="shared" ref="O643:O701" si="73">IF(H643="Yes",G643*0.23,0)</f>
        <v>0</v>
      </c>
      <c r="P643">
        <f t="shared" ref="P643:P701" si="74">IF(Q643,G643*0.23,0)</f>
        <v>0</v>
      </c>
      <c r="Q643" t="b">
        <f t="shared" ref="Q643:Q701" si="75">AND(H643="Yes",L643&lt;&gt;"Government")</f>
        <v>0</v>
      </c>
      <c r="R643">
        <f t="shared" ref="R643:R701" si="76">IF(AND(H643="Yes",L643&lt;&gt;"Government"),G643*0.23,0)</f>
        <v>0</v>
      </c>
      <c r="S643" s="14">
        <f>_xlfn.XLOOKUP(B643,Summary!$C$10:$C$15,Summary!$B$10:$B$15)</f>
        <v>0.2</v>
      </c>
      <c r="T643">
        <f>IF(AND(H643="Yes",L643&lt;&gt;"Government"),G643*(_xlfn.XLOOKUP(B643,Summary!$C$10:$C$15,Summary!$B$10:$B$15)),0)</f>
        <v>0</v>
      </c>
    </row>
    <row r="644" spans="1:20" x14ac:dyDescent="0.25">
      <c r="A644">
        <v>96005</v>
      </c>
      <c r="B644" t="s">
        <v>43</v>
      </c>
      <c r="C644" t="s">
        <v>30</v>
      </c>
      <c r="D644" s="11">
        <v>1142</v>
      </c>
      <c r="E644">
        <v>5.37</v>
      </c>
      <c r="F644">
        <v>7</v>
      </c>
      <c r="G644">
        <f t="shared" si="70"/>
        <v>7994</v>
      </c>
      <c r="H644" t="s">
        <v>71</v>
      </c>
      <c r="J644" s="9">
        <v>45741</v>
      </c>
      <c r="K644" t="s">
        <v>39</v>
      </c>
      <c r="L644" t="s">
        <v>31</v>
      </c>
      <c r="M644" t="str">
        <f t="shared" si="71"/>
        <v>Private Industry</v>
      </c>
      <c r="N644" t="str">
        <f t="shared" si="72"/>
        <v>Small Order</v>
      </c>
      <c r="O644">
        <f t="shared" si="73"/>
        <v>1838.6200000000001</v>
      </c>
      <c r="P644">
        <f t="shared" si="74"/>
        <v>1838.6200000000001</v>
      </c>
      <c r="Q644" t="b">
        <f t="shared" si="75"/>
        <v>1</v>
      </c>
      <c r="R644">
        <f t="shared" si="76"/>
        <v>1838.6200000000001</v>
      </c>
      <c r="S644" s="14">
        <f>_xlfn.XLOOKUP(B644,Summary!$C$10:$C$15,Summary!$B$10:$B$15)</f>
        <v>0.21</v>
      </c>
      <c r="T644">
        <f>IF(AND(H644="Yes",L644&lt;&gt;"Government"),G644*(_xlfn.XLOOKUP(B644,Summary!$C$10:$C$15,Summary!$B$10:$B$15)),0)</f>
        <v>1678.74</v>
      </c>
    </row>
    <row r="645" spans="1:20" x14ac:dyDescent="0.25">
      <c r="A645">
        <v>17880</v>
      </c>
      <c r="B645" t="s">
        <v>29</v>
      </c>
      <c r="C645" t="s">
        <v>38</v>
      </c>
      <c r="D645" s="11">
        <v>1433</v>
      </c>
      <c r="E645">
        <v>260.81</v>
      </c>
      <c r="F645">
        <v>366</v>
      </c>
      <c r="G645">
        <f t="shared" si="70"/>
        <v>524478</v>
      </c>
      <c r="H645" t="s">
        <v>72</v>
      </c>
      <c r="J645" s="9">
        <v>45571</v>
      </c>
      <c r="K645" t="s">
        <v>41</v>
      </c>
      <c r="L645" t="s">
        <v>33</v>
      </c>
      <c r="M645" t="str">
        <f t="shared" si="71"/>
        <v>Private Industry</v>
      </c>
      <c r="N645" t="str">
        <f t="shared" si="72"/>
        <v>Small Order</v>
      </c>
      <c r="O645">
        <f t="shared" si="73"/>
        <v>0</v>
      </c>
      <c r="P645">
        <f t="shared" si="74"/>
        <v>0</v>
      </c>
      <c r="Q645" t="b">
        <f t="shared" si="75"/>
        <v>0</v>
      </c>
      <c r="R645">
        <f t="shared" si="76"/>
        <v>0</v>
      </c>
      <c r="S645" s="14">
        <f>_xlfn.XLOOKUP(B645,Summary!$C$10:$C$15,Summary!$B$10:$B$15)</f>
        <v>0.22</v>
      </c>
      <c r="T645">
        <f>IF(AND(H645="Yes",L645&lt;&gt;"Government"),G645*(_xlfn.XLOOKUP(B645,Summary!$C$10:$C$15,Summary!$B$10:$B$15)),0)</f>
        <v>0</v>
      </c>
    </row>
    <row r="646" spans="1:20" x14ac:dyDescent="0.25">
      <c r="A646">
        <v>98040</v>
      </c>
      <c r="B646" t="s">
        <v>43</v>
      </c>
      <c r="C646" t="s">
        <v>35</v>
      </c>
      <c r="D646" s="11">
        <v>861</v>
      </c>
      <c r="E646">
        <v>10.029999999999999</v>
      </c>
      <c r="F646">
        <v>15</v>
      </c>
      <c r="G646">
        <f t="shared" si="70"/>
        <v>12915</v>
      </c>
      <c r="H646" t="s">
        <v>72</v>
      </c>
      <c r="J646" s="9">
        <v>45400</v>
      </c>
      <c r="K646" t="s">
        <v>40</v>
      </c>
      <c r="L646" t="s">
        <v>33</v>
      </c>
      <c r="M646" t="str">
        <f t="shared" si="71"/>
        <v>Private Industry</v>
      </c>
      <c r="N646" t="str">
        <f t="shared" si="72"/>
        <v>Small Order</v>
      </c>
      <c r="O646">
        <f t="shared" si="73"/>
        <v>0</v>
      </c>
      <c r="P646">
        <f t="shared" si="74"/>
        <v>0</v>
      </c>
      <c r="Q646" t="b">
        <f t="shared" si="75"/>
        <v>0</v>
      </c>
      <c r="R646">
        <f t="shared" si="76"/>
        <v>0</v>
      </c>
      <c r="S646" s="14">
        <f>_xlfn.XLOOKUP(B646,Summary!$C$10:$C$15,Summary!$B$10:$B$15)</f>
        <v>0.21</v>
      </c>
      <c r="T646">
        <f>IF(AND(H646="Yes",L646&lt;&gt;"Government"),G646*(_xlfn.XLOOKUP(B646,Summary!$C$10:$C$15,Summary!$B$10:$B$15)),0)</f>
        <v>0</v>
      </c>
    </row>
    <row r="647" spans="1:20" x14ac:dyDescent="0.25">
      <c r="A647">
        <v>34457</v>
      </c>
      <c r="B647" t="s">
        <v>27</v>
      </c>
      <c r="C647" t="s">
        <v>35</v>
      </c>
      <c r="D647" s="11">
        <v>1372</v>
      </c>
      <c r="E647">
        <v>10.14</v>
      </c>
      <c r="F647">
        <v>11</v>
      </c>
      <c r="G647">
        <f t="shared" si="70"/>
        <v>15092</v>
      </c>
      <c r="H647" t="s">
        <v>71</v>
      </c>
      <c r="J647" s="9">
        <v>45200</v>
      </c>
      <c r="K647" t="s">
        <v>40</v>
      </c>
      <c r="L647" t="s">
        <v>24</v>
      </c>
      <c r="M647" t="str">
        <f t="shared" si="71"/>
        <v>Public Sector</v>
      </c>
      <c r="N647" t="str">
        <f t="shared" si="72"/>
        <v>Small Order</v>
      </c>
      <c r="O647">
        <f t="shared" si="73"/>
        <v>3471.1600000000003</v>
      </c>
      <c r="P647">
        <f t="shared" si="74"/>
        <v>0</v>
      </c>
      <c r="Q647" t="b">
        <f t="shared" si="75"/>
        <v>0</v>
      </c>
      <c r="R647">
        <f t="shared" si="76"/>
        <v>0</v>
      </c>
      <c r="S647" s="14">
        <f>_xlfn.XLOOKUP(B647,Summary!$C$10:$C$15,Summary!$B$10:$B$15)</f>
        <v>0.19</v>
      </c>
      <c r="T647">
        <f>IF(AND(H647="Yes",L647&lt;&gt;"Government"),G647*(_xlfn.XLOOKUP(B647,Summary!$C$10:$C$15,Summary!$B$10:$B$15)),0)</f>
        <v>0</v>
      </c>
    </row>
    <row r="648" spans="1:20" x14ac:dyDescent="0.25">
      <c r="A648">
        <v>62639</v>
      </c>
      <c r="B648" t="s">
        <v>43</v>
      </c>
      <c r="C648" t="s">
        <v>30</v>
      </c>
      <c r="D648" s="11">
        <v>2328</v>
      </c>
      <c r="E648">
        <v>5.37</v>
      </c>
      <c r="F648">
        <v>7</v>
      </c>
      <c r="G648">
        <f t="shared" si="70"/>
        <v>16296</v>
      </c>
      <c r="H648" t="s">
        <v>71</v>
      </c>
      <c r="J648" s="9">
        <v>45680</v>
      </c>
      <c r="K648" t="s">
        <v>41</v>
      </c>
      <c r="L648" t="s">
        <v>24</v>
      </c>
      <c r="M648" t="str">
        <f t="shared" si="71"/>
        <v>Public Sector</v>
      </c>
      <c r="N648" t="str">
        <f t="shared" si="72"/>
        <v>Large Order</v>
      </c>
      <c r="O648">
        <f t="shared" si="73"/>
        <v>3748.0800000000004</v>
      </c>
      <c r="P648">
        <f t="shared" si="74"/>
        <v>0</v>
      </c>
      <c r="Q648" t="b">
        <f t="shared" si="75"/>
        <v>0</v>
      </c>
      <c r="R648">
        <f t="shared" si="76"/>
        <v>0</v>
      </c>
      <c r="S648" s="14">
        <f>_xlfn.XLOOKUP(B648,Summary!$C$10:$C$15,Summary!$B$10:$B$15)</f>
        <v>0.21</v>
      </c>
      <c r="T648">
        <f>IF(AND(H648="Yes",L648&lt;&gt;"Government"),G648*(_xlfn.XLOOKUP(B648,Summary!$C$10:$C$15,Summary!$B$10:$B$15)),0)</f>
        <v>0</v>
      </c>
    </row>
    <row r="649" spans="1:20" x14ac:dyDescent="0.25">
      <c r="A649">
        <v>58488</v>
      </c>
      <c r="B649" t="s">
        <v>42</v>
      </c>
      <c r="C649" t="s">
        <v>36</v>
      </c>
      <c r="D649" s="11">
        <v>2605</v>
      </c>
      <c r="E649">
        <v>120.29</v>
      </c>
      <c r="F649">
        <v>164</v>
      </c>
      <c r="G649">
        <f t="shared" si="70"/>
        <v>427220</v>
      </c>
      <c r="H649" t="s">
        <v>71</v>
      </c>
      <c r="J649" s="9">
        <v>45636</v>
      </c>
      <c r="K649" t="s">
        <v>41</v>
      </c>
      <c r="L649" t="s">
        <v>34</v>
      </c>
      <c r="M649" t="str">
        <f t="shared" si="71"/>
        <v>Private Industry</v>
      </c>
      <c r="N649" t="str">
        <f t="shared" si="72"/>
        <v>Large Order</v>
      </c>
      <c r="O649">
        <f t="shared" si="73"/>
        <v>98260.6</v>
      </c>
      <c r="P649">
        <f t="shared" si="74"/>
        <v>98260.6</v>
      </c>
      <c r="Q649" t="b">
        <f t="shared" si="75"/>
        <v>1</v>
      </c>
      <c r="R649">
        <f t="shared" si="76"/>
        <v>98260.6</v>
      </c>
      <c r="S649" s="14">
        <f>_xlfn.XLOOKUP(B649,Summary!$C$10:$C$15,Summary!$B$10:$B$15)</f>
        <v>0.24</v>
      </c>
      <c r="T649">
        <f>IF(AND(H649="Yes",L649&lt;&gt;"Government"),G649*(_xlfn.XLOOKUP(B649,Summary!$C$10:$C$15,Summary!$B$10:$B$15)),0)</f>
        <v>102532.8</v>
      </c>
    </row>
    <row r="650" spans="1:20" x14ac:dyDescent="0.25">
      <c r="A650">
        <v>37609</v>
      </c>
      <c r="B650" t="s">
        <v>43</v>
      </c>
      <c r="C650" t="s">
        <v>38</v>
      </c>
      <c r="D650" s="11">
        <v>1282</v>
      </c>
      <c r="E650">
        <v>260.8</v>
      </c>
      <c r="F650">
        <v>386</v>
      </c>
      <c r="G650">
        <f t="shared" si="70"/>
        <v>494852</v>
      </c>
      <c r="H650" t="s">
        <v>72</v>
      </c>
      <c r="J650" s="9">
        <v>45546</v>
      </c>
      <c r="K650" t="s">
        <v>40</v>
      </c>
      <c r="L650" t="s">
        <v>24</v>
      </c>
      <c r="M650" t="str">
        <f t="shared" si="71"/>
        <v>Public Sector</v>
      </c>
      <c r="N650" t="str">
        <f t="shared" si="72"/>
        <v>Small Order</v>
      </c>
      <c r="O650">
        <f t="shared" si="73"/>
        <v>0</v>
      </c>
      <c r="P650">
        <f t="shared" si="74"/>
        <v>0</v>
      </c>
      <c r="Q650" t="b">
        <f t="shared" si="75"/>
        <v>0</v>
      </c>
      <c r="R650">
        <f t="shared" si="76"/>
        <v>0</v>
      </c>
      <c r="S650" s="14">
        <f>_xlfn.XLOOKUP(B650,Summary!$C$10:$C$15,Summary!$B$10:$B$15)</f>
        <v>0.21</v>
      </c>
      <c r="T650">
        <f>IF(AND(H650="Yes",L650&lt;&gt;"Government"),G650*(_xlfn.XLOOKUP(B650,Summary!$C$10:$C$15,Summary!$B$10:$B$15)),0)</f>
        <v>0</v>
      </c>
    </row>
    <row r="651" spans="1:20" x14ac:dyDescent="0.25">
      <c r="A651">
        <v>21935</v>
      </c>
      <c r="B651" t="s">
        <v>42</v>
      </c>
      <c r="C651" t="s">
        <v>37</v>
      </c>
      <c r="D651" s="11">
        <v>1005</v>
      </c>
      <c r="E651">
        <v>250.72</v>
      </c>
      <c r="F651">
        <v>281</v>
      </c>
      <c r="G651">
        <f t="shared" si="70"/>
        <v>282405</v>
      </c>
      <c r="H651" t="s">
        <v>72</v>
      </c>
      <c r="J651" s="9">
        <v>45427</v>
      </c>
      <c r="K651" t="s">
        <v>41</v>
      </c>
      <c r="L651" t="s">
        <v>31</v>
      </c>
      <c r="M651" t="str">
        <f t="shared" si="71"/>
        <v>Private Industry</v>
      </c>
      <c r="N651" t="str">
        <f t="shared" si="72"/>
        <v>Small Order</v>
      </c>
      <c r="O651">
        <f t="shared" si="73"/>
        <v>0</v>
      </c>
      <c r="P651">
        <f t="shared" si="74"/>
        <v>0</v>
      </c>
      <c r="Q651" t="b">
        <f t="shared" si="75"/>
        <v>0</v>
      </c>
      <c r="R651">
        <f t="shared" si="76"/>
        <v>0</v>
      </c>
      <c r="S651" s="14">
        <f>_xlfn.XLOOKUP(B651,Summary!$C$10:$C$15,Summary!$B$10:$B$15)</f>
        <v>0.24</v>
      </c>
      <c r="T651">
        <f>IF(AND(H651="Yes",L651&lt;&gt;"Government"),G651*(_xlfn.XLOOKUP(B651,Summary!$C$10:$C$15,Summary!$B$10:$B$15)),0)</f>
        <v>0</v>
      </c>
    </row>
    <row r="652" spans="1:20" x14ac:dyDescent="0.25">
      <c r="A652">
        <v>93358</v>
      </c>
      <c r="B652" t="s">
        <v>42</v>
      </c>
      <c r="C652" t="s">
        <v>37</v>
      </c>
      <c r="D652" s="11">
        <v>1233</v>
      </c>
      <c r="E652">
        <v>250.34</v>
      </c>
      <c r="F652">
        <v>291</v>
      </c>
      <c r="G652">
        <f t="shared" si="70"/>
        <v>358803</v>
      </c>
      <c r="H652" t="s">
        <v>72</v>
      </c>
      <c r="J652" s="9">
        <v>45484</v>
      </c>
      <c r="K652" t="s">
        <v>41</v>
      </c>
      <c r="L652" t="s">
        <v>24</v>
      </c>
      <c r="M652" t="str">
        <f t="shared" si="71"/>
        <v>Public Sector</v>
      </c>
      <c r="N652" t="str">
        <f t="shared" si="72"/>
        <v>Small Order</v>
      </c>
      <c r="O652">
        <f t="shared" si="73"/>
        <v>0</v>
      </c>
      <c r="P652">
        <f t="shared" si="74"/>
        <v>0</v>
      </c>
      <c r="Q652" t="b">
        <f t="shared" si="75"/>
        <v>0</v>
      </c>
      <c r="R652">
        <f t="shared" si="76"/>
        <v>0</v>
      </c>
      <c r="S652" s="14">
        <f>_xlfn.XLOOKUP(B652,Summary!$C$10:$C$15,Summary!$B$10:$B$15)</f>
        <v>0.24</v>
      </c>
      <c r="T652">
        <f>IF(AND(H652="Yes",L652&lt;&gt;"Government"),G652*(_xlfn.XLOOKUP(B652,Summary!$C$10:$C$15,Summary!$B$10:$B$15)),0)</f>
        <v>0</v>
      </c>
    </row>
    <row r="653" spans="1:20" x14ac:dyDescent="0.25">
      <c r="A653">
        <v>76758</v>
      </c>
      <c r="B653" t="s">
        <v>42</v>
      </c>
      <c r="C653" t="s">
        <v>38</v>
      </c>
      <c r="D653" s="11">
        <v>1727</v>
      </c>
      <c r="E653">
        <v>260.56</v>
      </c>
      <c r="F653">
        <v>370</v>
      </c>
      <c r="G653">
        <f t="shared" si="70"/>
        <v>638990</v>
      </c>
      <c r="H653" t="s">
        <v>71</v>
      </c>
      <c r="J653" s="9">
        <v>45448</v>
      </c>
      <c r="K653" t="s">
        <v>41</v>
      </c>
      <c r="L653" t="s">
        <v>24</v>
      </c>
      <c r="M653" t="str">
        <f t="shared" si="71"/>
        <v>Public Sector</v>
      </c>
      <c r="N653" t="str">
        <f t="shared" si="72"/>
        <v>Large Order</v>
      </c>
      <c r="O653">
        <f t="shared" si="73"/>
        <v>146967.70000000001</v>
      </c>
      <c r="P653">
        <f t="shared" si="74"/>
        <v>0</v>
      </c>
      <c r="Q653" t="b">
        <f t="shared" si="75"/>
        <v>0</v>
      </c>
      <c r="R653">
        <f t="shared" si="76"/>
        <v>0</v>
      </c>
      <c r="S653" s="14">
        <f>_xlfn.XLOOKUP(B653,Summary!$C$10:$C$15,Summary!$B$10:$B$15)</f>
        <v>0.24</v>
      </c>
      <c r="T653">
        <f>IF(AND(H653="Yes",L653&lt;&gt;"Government"),G653*(_xlfn.XLOOKUP(B653,Summary!$C$10:$C$15,Summary!$B$10:$B$15)),0)</f>
        <v>0</v>
      </c>
    </row>
    <row r="654" spans="1:20" x14ac:dyDescent="0.25">
      <c r="A654">
        <v>33553</v>
      </c>
      <c r="B654" t="s">
        <v>27</v>
      </c>
      <c r="C654" t="s">
        <v>25</v>
      </c>
      <c r="D654" s="11">
        <v>888</v>
      </c>
      <c r="E654">
        <v>3.33</v>
      </c>
      <c r="F654">
        <v>5</v>
      </c>
      <c r="G654">
        <f t="shared" si="70"/>
        <v>4440</v>
      </c>
      <c r="H654" t="s">
        <v>72</v>
      </c>
      <c r="J654" s="9">
        <v>45461</v>
      </c>
      <c r="K654" t="s">
        <v>26</v>
      </c>
      <c r="L654" t="s">
        <v>28</v>
      </c>
      <c r="M654" t="str">
        <f t="shared" si="71"/>
        <v>Private Industry</v>
      </c>
      <c r="N654" t="str">
        <f t="shared" si="72"/>
        <v>Small Order</v>
      </c>
      <c r="O654">
        <f t="shared" si="73"/>
        <v>0</v>
      </c>
      <c r="P654">
        <f t="shared" si="74"/>
        <v>0</v>
      </c>
      <c r="Q654" t="b">
        <f t="shared" si="75"/>
        <v>0</v>
      </c>
      <c r="R654">
        <f t="shared" si="76"/>
        <v>0</v>
      </c>
      <c r="S654" s="14">
        <f>_xlfn.XLOOKUP(B654,Summary!$C$10:$C$15,Summary!$B$10:$B$15)</f>
        <v>0.19</v>
      </c>
      <c r="T654">
        <f>IF(AND(H654="Yes",L654&lt;&gt;"Government"),G654*(_xlfn.XLOOKUP(B654,Summary!$C$10:$C$15,Summary!$B$10:$B$15)),0)</f>
        <v>0</v>
      </c>
    </row>
    <row r="655" spans="1:20" x14ac:dyDescent="0.25">
      <c r="A655">
        <v>92343</v>
      </c>
      <c r="B655" t="s">
        <v>44</v>
      </c>
      <c r="C655" t="s">
        <v>30</v>
      </c>
      <c r="D655" s="11">
        <v>2518</v>
      </c>
      <c r="E655">
        <v>5.98</v>
      </c>
      <c r="F655">
        <v>9</v>
      </c>
      <c r="G655">
        <f t="shared" si="70"/>
        <v>22662</v>
      </c>
      <c r="H655" t="s">
        <v>71</v>
      </c>
      <c r="J655" s="9">
        <v>45728</v>
      </c>
      <c r="K655" t="s">
        <v>26</v>
      </c>
      <c r="L655" t="s">
        <v>31</v>
      </c>
      <c r="M655" t="str">
        <f t="shared" si="71"/>
        <v>Private Industry</v>
      </c>
      <c r="N655" t="str">
        <f t="shared" si="72"/>
        <v>Large Order</v>
      </c>
      <c r="O655">
        <f t="shared" si="73"/>
        <v>5212.26</v>
      </c>
      <c r="P655">
        <f t="shared" si="74"/>
        <v>5212.26</v>
      </c>
      <c r="Q655" t="b">
        <f t="shared" si="75"/>
        <v>1</v>
      </c>
      <c r="R655">
        <f t="shared" si="76"/>
        <v>5212.26</v>
      </c>
      <c r="S655" s="14">
        <f>_xlfn.XLOOKUP(B655,Summary!$C$10:$C$15,Summary!$B$10:$B$15)</f>
        <v>0.2</v>
      </c>
      <c r="T655">
        <f>IF(AND(H655="Yes",L655&lt;&gt;"Government"),G655*(_xlfn.XLOOKUP(B655,Summary!$C$10:$C$15,Summary!$B$10:$B$15)),0)</f>
        <v>4532.4000000000005</v>
      </c>
    </row>
    <row r="656" spans="1:20" x14ac:dyDescent="0.25">
      <c r="A656">
        <v>84496</v>
      </c>
      <c r="B656" t="s">
        <v>42</v>
      </c>
      <c r="C656" t="s">
        <v>30</v>
      </c>
      <c r="D656" s="11">
        <v>1368</v>
      </c>
      <c r="E656">
        <v>5.61</v>
      </c>
      <c r="F656">
        <v>6</v>
      </c>
      <c r="G656">
        <f t="shared" si="70"/>
        <v>8208</v>
      </c>
      <c r="H656" t="s">
        <v>71</v>
      </c>
      <c r="J656" s="9">
        <v>45273</v>
      </c>
      <c r="K656" t="s">
        <v>41</v>
      </c>
      <c r="L656" t="s">
        <v>24</v>
      </c>
      <c r="M656" t="str">
        <f t="shared" si="71"/>
        <v>Public Sector</v>
      </c>
      <c r="N656" t="str">
        <f t="shared" si="72"/>
        <v>Small Order</v>
      </c>
      <c r="O656">
        <f t="shared" si="73"/>
        <v>1887.8400000000001</v>
      </c>
      <c r="P656">
        <f t="shared" si="74"/>
        <v>0</v>
      </c>
      <c r="Q656" t="b">
        <f t="shared" si="75"/>
        <v>0</v>
      </c>
      <c r="R656">
        <f t="shared" si="76"/>
        <v>0</v>
      </c>
      <c r="S656" s="14">
        <f>_xlfn.XLOOKUP(B656,Summary!$C$10:$C$15,Summary!$B$10:$B$15)</f>
        <v>0.24</v>
      </c>
      <c r="T656">
        <f>IF(AND(H656="Yes",L656&lt;&gt;"Government"),G656*(_xlfn.XLOOKUP(B656,Summary!$C$10:$C$15,Summary!$B$10:$B$15)),0)</f>
        <v>0</v>
      </c>
    </row>
    <row r="657" spans="1:20" x14ac:dyDescent="0.25">
      <c r="A657">
        <v>71414</v>
      </c>
      <c r="B657" t="s">
        <v>29</v>
      </c>
      <c r="C657" t="s">
        <v>36</v>
      </c>
      <c r="D657" s="11">
        <v>2805</v>
      </c>
      <c r="E657">
        <v>120.89</v>
      </c>
      <c r="F657">
        <v>173</v>
      </c>
      <c r="G657">
        <f t="shared" si="70"/>
        <v>485265</v>
      </c>
      <c r="H657" t="s">
        <v>72</v>
      </c>
      <c r="J657" s="9">
        <v>45441</v>
      </c>
      <c r="K657" t="s">
        <v>41</v>
      </c>
      <c r="L657" t="s">
        <v>24</v>
      </c>
      <c r="M657" t="str">
        <f t="shared" si="71"/>
        <v>Public Sector</v>
      </c>
      <c r="N657" t="str">
        <f t="shared" si="72"/>
        <v>Large Order</v>
      </c>
      <c r="O657">
        <f t="shared" si="73"/>
        <v>0</v>
      </c>
      <c r="P657">
        <f t="shared" si="74"/>
        <v>0</v>
      </c>
      <c r="Q657" t="b">
        <f t="shared" si="75"/>
        <v>0</v>
      </c>
      <c r="R657">
        <f t="shared" si="76"/>
        <v>0</v>
      </c>
      <c r="S657" s="14">
        <f>_xlfn.XLOOKUP(B657,Summary!$C$10:$C$15,Summary!$B$10:$B$15)</f>
        <v>0.22</v>
      </c>
      <c r="T657">
        <f>IF(AND(H657="Yes",L657&lt;&gt;"Government"),G657*(_xlfn.XLOOKUP(B657,Summary!$C$10:$C$15,Summary!$B$10:$B$15)),0)</f>
        <v>0</v>
      </c>
    </row>
    <row r="658" spans="1:20" x14ac:dyDescent="0.25">
      <c r="A658">
        <v>78945</v>
      </c>
      <c r="B658" t="s">
        <v>29</v>
      </c>
      <c r="C658" t="s">
        <v>25</v>
      </c>
      <c r="D658" s="11">
        <v>1023</v>
      </c>
      <c r="E658">
        <v>3.24</v>
      </c>
      <c r="F658">
        <v>4</v>
      </c>
      <c r="G658">
        <f t="shared" si="70"/>
        <v>4092</v>
      </c>
      <c r="H658" t="s">
        <v>72</v>
      </c>
      <c r="J658" s="9">
        <v>45551</v>
      </c>
      <c r="K658" t="s">
        <v>41</v>
      </c>
      <c r="L658" t="s">
        <v>33</v>
      </c>
      <c r="M658" t="str">
        <f t="shared" si="71"/>
        <v>Private Industry</v>
      </c>
      <c r="N658" t="str">
        <f t="shared" si="72"/>
        <v>Small Order</v>
      </c>
      <c r="O658">
        <f t="shared" si="73"/>
        <v>0</v>
      </c>
      <c r="P658">
        <f t="shared" si="74"/>
        <v>0</v>
      </c>
      <c r="Q658" t="b">
        <f t="shared" si="75"/>
        <v>0</v>
      </c>
      <c r="R658">
        <f t="shared" si="76"/>
        <v>0</v>
      </c>
      <c r="S658" s="14">
        <f>_xlfn.XLOOKUP(B658,Summary!$C$10:$C$15,Summary!$B$10:$B$15)</f>
        <v>0.22</v>
      </c>
      <c r="T658">
        <f>IF(AND(H658="Yes",L658&lt;&gt;"Government"),G658*(_xlfn.XLOOKUP(B658,Summary!$C$10:$C$15,Summary!$B$10:$B$15)),0)</f>
        <v>0</v>
      </c>
    </row>
    <row r="659" spans="1:20" x14ac:dyDescent="0.25">
      <c r="A659">
        <v>95276</v>
      </c>
      <c r="B659" t="s">
        <v>27</v>
      </c>
      <c r="C659" t="s">
        <v>35</v>
      </c>
      <c r="D659" s="11">
        <v>1760</v>
      </c>
      <c r="E659">
        <v>10.14</v>
      </c>
      <c r="F659">
        <v>11</v>
      </c>
      <c r="G659">
        <f t="shared" si="70"/>
        <v>19360</v>
      </c>
      <c r="H659" t="s">
        <v>71</v>
      </c>
      <c r="J659" s="9">
        <v>45583</v>
      </c>
      <c r="K659" t="s">
        <v>39</v>
      </c>
      <c r="L659" t="s">
        <v>24</v>
      </c>
      <c r="M659" t="str">
        <f t="shared" si="71"/>
        <v>Public Sector</v>
      </c>
      <c r="N659" t="str">
        <f t="shared" si="72"/>
        <v>Large Order</v>
      </c>
      <c r="O659">
        <f t="shared" si="73"/>
        <v>4452.8</v>
      </c>
      <c r="P659">
        <f t="shared" si="74"/>
        <v>0</v>
      </c>
      <c r="Q659" t="b">
        <f t="shared" si="75"/>
        <v>0</v>
      </c>
      <c r="R659">
        <f t="shared" si="76"/>
        <v>0</v>
      </c>
      <c r="S659" s="14">
        <f>_xlfn.XLOOKUP(B659,Summary!$C$10:$C$15,Summary!$B$10:$B$15)</f>
        <v>0.19</v>
      </c>
      <c r="T659">
        <f>IF(AND(H659="Yes",L659&lt;&gt;"Government"),G659*(_xlfn.XLOOKUP(B659,Summary!$C$10:$C$15,Summary!$B$10:$B$15)),0)</f>
        <v>0</v>
      </c>
    </row>
    <row r="660" spans="1:20" x14ac:dyDescent="0.25">
      <c r="A660">
        <v>63916</v>
      </c>
      <c r="B660" t="s">
        <v>44</v>
      </c>
      <c r="C660" t="s">
        <v>30</v>
      </c>
      <c r="D660" s="11">
        <v>1249</v>
      </c>
      <c r="E660">
        <v>5.7</v>
      </c>
      <c r="F660">
        <v>8</v>
      </c>
      <c r="G660">
        <f t="shared" si="70"/>
        <v>9992</v>
      </c>
      <c r="H660" t="s">
        <v>72</v>
      </c>
      <c r="J660" s="9">
        <v>45248</v>
      </c>
      <c r="K660" t="s">
        <v>41</v>
      </c>
      <c r="L660" t="s">
        <v>24</v>
      </c>
      <c r="M660" t="str">
        <f t="shared" si="71"/>
        <v>Public Sector</v>
      </c>
      <c r="N660" t="str">
        <f t="shared" si="72"/>
        <v>Small Order</v>
      </c>
      <c r="O660">
        <f t="shared" si="73"/>
        <v>0</v>
      </c>
      <c r="P660">
        <f t="shared" si="74"/>
        <v>0</v>
      </c>
      <c r="Q660" t="b">
        <f t="shared" si="75"/>
        <v>0</v>
      </c>
      <c r="R660">
        <f t="shared" si="76"/>
        <v>0</v>
      </c>
      <c r="S660" s="14">
        <f>_xlfn.XLOOKUP(B660,Summary!$C$10:$C$15,Summary!$B$10:$B$15)</f>
        <v>0.2</v>
      </c>
      <c r="T660">
        <f>IF(AND(H660="Yes",L660&lt;&gt;"Government"),G660*(_xlfn.XLOOKUP(B660,Summary!$C$10:$C$15,Summary!$B$10:$B$15)),0)</f>
        <v>0</v>
      </c>
    </row>
    <row r="661" spans="1:20" x14ac:dyDescent="0.25">
      <c r="A661">
        <v>32189</v>
      </c>
      <c r="B661" t="s">
        <v>29</v>
      </c>
      <c r="C661" t="s">
        <v>35</v>
      </c>
      <c r="D661" s="11">
        <v>918</v>
      </c>
      <c r="E661">
        <v>10.93</v>
      </c>
      <c r="F661">
        <v>12</v>
      </c>
      <c r="G661">
        <f t="shared" si="70"/>
        <v>11016</v>
      </c>
      <c r="H661" t="s">
        <v>72</v>
      </c>
      <c r="J661" s="9">
        <v>45367</v>
      </c>
      <c r="K661" t="s">
        <v>39</v>
      </c>
      <c r="L661" t="s">
        <v>34</v>
      </c>
      <c r="M661" t="str">
        <f t="shared" si="71"/>
        <v>Private Industry</v>
      </c>
      <c r="N661" t="str">
        <f t="shared" si="72"/>
        <v>Small Order</v>
      </c>
      <c r="O661">
        <f t="shared" si="73"/>
        <v>0</v>
      </c>
      <c r="P661">
        <f t="shared" si="74"/>
        <v>0</v>
      </c>
      <c r="Q661" t="b">
        <f t="shared" si="75"/>
        <v>0</v>
      </c>
      <c r="R661">
        <f t="shared" si="76"/>
        <v>0</v>
      </c>
      <c r="S661" s="14">
        <f>_xlfn.XLOOKUP(B661,Summary!$C$10:$C$15,Summary!$B$10:$B$15)</f>
        <v>0.22</v>
      </c>
      <c r="T661">
        <f>IF(AND(H661="Yes",L661&lt;&gt;"Government"),G661*(_xlfn.XLOOKUP(B661,Summary!$C$10:$C$15,Summary!$B$10:$B$15)),0)</f>
        <v>0</v>
      </c>
    </row>
    <row r="662" spans="1:20" x14ac:dyDescent="0.25">
      <c r="A662">
        <v>29399</v>
      </c>
      <c r="B662" t="s">
        <v>43</v>
      </c>
      <c r="C662" t="s">
        <v>38</v>
      </c>
      <c r="D662" s="11">
        <v>1989</v>
      </c>
      <c r="E662">
        <v>260.49</v>
      </c>
      <c r="F662">
        <v>383</v>
      </c>
      <c r="G662">
        <f t="shared" si="70"/>
        <v>761787</v>
      </c>
      <c r="H662" t="s">
        <v>71</v>
      </c>
      <c r="J662" s="9">
        <v>45673</v>
      </c>
      <c r="K662" t="s">
        <v>39</v>
      </c>
      <c r="L662" t="s">
        <v>31</v>
      </c>
      <c r="M662" t="str">
        <f t="shared" si="71"/>
        <v>Private Industry</v>
      </c>
      <c r="N662" t="str">
        <f t="shared" si="72"/>
        <v>Large Order</v>
      </c>
      <c r="O662">
        <f t="shared" si="73"/>
        <v>175211.01</v>
      </c>
      <c r="P662">
        <f t="shared" si="74"/>
        <v>175211.01</v>
      </c>
      <c r="Q662" t="b">
        <f t="shared" si="75"/>
        <v>1</v>
      </c>
      <c r="R662">
        <f t="shared" si="76"/>
        <v>175211.01</v>
      </c>
      <c r="S662" s="14">
        <f>_xlfn.XLOOKUP(B662,Summary!$C$10:$C$15,Summary!$B$10:$B$15)</f>
        <v>0.21</v>
      </c>
      <c r="T662">
        <f>IF(AND(H662="Yes",L662&lt;&gt;"Government"),G662*(_xlfn.XLOOKUP(B662,Summary!$C$10:$C$15,Summary!$B$10:$B$15)),0)</f>
        <v>159975.26999999999</v>
      </c>
    </row>
    <row r="663" spans="1:20" x14ac:dyDescent="0.25">
      <c r="A663">
        <v>76960</v>
      </c>
      <c r="B663" t="s">
        <v>27</v>
      </c>
      <c r="C663" t="s">
        <v>37</v>
      </c>
      <c r="D663" s="11">
        <v>888</v>
      </c>
      <c r="E663">
        <v>250.94</v>
      </c>
      <c r="F663">
        <v>292</v>
      </c>
      <c r="G663">
        <f t="shared" si="70"/>
        <v>259296</v>
      </c>
      <c r="H663" t="s">
        <v>71</v>
      </c>
      <c r="J663" s="9">
        <v>45710</v>
      </c>
      <c r="K663" t="s">
        <v>26</v>
      </c>
      <c r="L663" t="s">
        <v>28</v>
      </c>
      <c r="M663" t="str">
        <f t="shared" si="71"/>
        <v>Private Industry</v>
      </c>
      <c r="N663" t="str">
        <f t="shared" si="72"/>
        <v>Small Order</v>
      </c>
      <c r="O663">
        <f t="shared" si="73"/>
        <v>59638.080000000002</v>
      </c>
      <c r="P663">
        <f t="shared" si="74"/>
        <v>59638.080000000002</v>
      </c>
      <c r="Q663" t="b">
        <f t="shared" si="75"/>
        <v>1</v>
      </c>
      <c r="R663">
        <f t="shared" si="76"/>
        <v>59638.080000000002</v>
      </c>
      <c r="S663" s="14">
        <f>_xlfn.XLOOKUP(B663,Summary!$C$10:$C$15,Summary!$B$10:$B$15)</f>
        <v>0.19</v>
      </c>
      <c r="T663">
        <f>IF(AND(H663="Yes",L663&lt;&gt;"Government"),G663*(_xlfn.XLOOKUP(B663,Summary!$C$10:$C$15,Summary!$B$10:$B$15)),0)</f>
        <v>49266.239999999998</v>
      </c>
    </row>
    <row r="664" spans="1:20" x14ac:dyDescent="0.25">
      <c r="A664">
        <v>19437</v>
      </c>
      <c r="B664" t="s">
        <v>43</v>
      </c>
      <c r="C664" t="s">
        <v>35</v>
      </c>
      <c r="D664" s="11">
        <v>678</v>
      </c>
      <c r="E664">
        <v>10.050000000000001</v>
      </c>
      <c r="F664">
        <v>15</v>
      </c>
      <c r="G664">
        <f t="shared" si="70"/>
        <v>10170</v>
      </c>
      <c r="H664" t="s">
        <v>71</v>
      </c>
      <c r="J664" s="9">
        <v>45724</v>
      </c>
      <c r="K664" t="s">
        <v>40</v>
      </c>
      <c r="L664" t="s">
        <v>24</v>
      </c>
      <c r="M664" t="str">
        <f t="shared" si="71"/>
        <v>Public Sector</v>
      </c>
      <c r="N664" t="str">
        <f t="shared" si="72"/>
        <v>Small Order</v>
      </c>
      <c r="O664">
        <f t="shared" si="73"/>
        <v>2339.1</v>
      </c>
      <c r="P664">
        <f t="shared" si="74"/>
        <v>0</v>
      </c>
      <c r="Q664" t="b">
        <f t="shared" si="75"/>
        <v>0</v>
      </c>
      <c r="R664">
        <f t="shared" si="76"/>
        <v>0</v>
      </c>
      <c r="S664" s="14">
        <f>_xlfn.XLOOKUP(B664,Summary!$C$10:$C$15,Summary!$B$10:$B$15)</f>
        <v>0.21</v>
      </c>
      <c r="T664">
        <f>IF(AND(H664="Yes",L664&lt;&gt;"Government"),G664*(_xlfn.XLOOKUP(B664,Summary!$C$10:$C$15,Summary!$B$10:$B$15)),0)</f>
        <v>0</v>
      </c>
    </row>
    <row r="665" spans="1:20" x14ac:dyDescent="0.25">
      <c r="A665">
        <v>15324</v>
      </c>
      <c r="B665" t="s">
        <v>44</v>
      </c>
      <c r="C665" t="s">
        <v>35</v>
      </c>
      <c r="D665" s="11">
        <v>2222</v>
      </c>
      <c r="E665">
        <v>10.6</v>
      </c>
      <c r="F665">
        <v>12</v>
      </c>
      <c r="G665">
        <f t="shared" si="70"/>
        <v>26664</v>
      </c>
      <c r="H665" t="s">
        <v>72</v>
      </c>
      <c r="J665" s="9">
        <v>45102</v>
      </c>
      <c r="K665" t="s">
        <v>41</v>
      </c>
      <c r="L665" t="s">
        <v>31</v>
      </c>
      <c r="M665" t="str">
        <f t="shared" si="71"/>
        <v>Private Industry</v>
      </c>
      <c r="N665" t="str">
        <f t="shared" si="72"/>
        <v>Large Order</v>
      </c>
      <c r="O665">
        <f t="shared" si="73"/>
        <v>0</v>
      </c>
      <c r="P665">
        <f t="shared" si="74"/>
        <v>0</v>
      </c>
      <c r="Q665" t="b">
        <f t="shared" si="75"/>
        <v>0</v>
      </c>
      <c r="R665">
        <f t="shared" si="76"/>
        <v>0</v>
      </c>
      <c r="S665" s="14">
        <f>_xlfn.XLOOKUP(B665,Summary!$C$10:$C$15,Summary!$B$10:$B$15)</f>
        <v>0.2</v>
      </c>
      <c r="T665">
        <f>IF(AND(H665="Yes",L665&lt;&gt;"Government"),G665*(_xlfn.XLOOKUP(B665,Summary!$C$10:$C$15,Summary!$B$10:$B$15)),0)</f>
        <v>0</v>
      </c>
    </row>
    <row r="666" spans="1:20" x14ac:dyDescent="0.25">
      <c r="A666">
        <v>41770</v>
      </c>
      <c r="B666" t="s">
        <v>42</v>
      </c>
      <c r="C666" t="s">
        <v>37</v>
      </c>
      <c r="D666" s="11">
        <v>2903</v>
      </c>
      <c r="E666">
        <v>250.32</v>
      </c>
      <c r="F666">
        <v>356</v>
      </c>
      <c r="G666">
        <f t="shared" si="70"/>
        <v>1033468</v>
      </c>
      <c r="H666" t="s">
        <v>71</v>
      </c>
      <c r="J666" s="9">
        <v>45236</v>
      </c>
      <c r="K666" t="s">
        <v>41</v>
      </c>
      <c r="L666" t="s">
        <v>24</v>
      </c>
      <c r="M666" t="str">
        <f t="shared" si="71"/>
        <v>Public Sector</v>
      </c>
      <c r="N666" t="str">
        <f t="shared" si="72"/>
        <v>Large Order</v>
      </c>
      <c r="O666">
        <f t="shared" si="73"/>
        <v>237697.64</v>
      </c>
      <c r="P666">
        <f t="shared" si="74"/>
        <v>0</v>
      </c>
      <c r="Q666" t="b">
        <f t="shared" si="75"/>
        <v>0</v>
      </c>
      <c r="R666">
        <f t="shared" si="76"/>
        <v>0</v>
      </c>
      <c r="S666" s="14">
        <f>_xlfn.XLOOKUP(B666,Summary!$C$10:$C$15,Summary!$B$10:$B$15)</f>
        <v>0.24</v>
      </c>
      <c r="T666">
        <f>IF(AND(H666="Yes",L666&lt;&gt;"Government"),G666*(_xlfn.XLOOKUP(B666,Summary!$C$10:$C$15,Summary!$B$10:$B$15)),0)</f>
        <v>0</v>
      </c>
    </row>
    <row r="667" spans="1:20" x14ac:dyDescent="0.25">
      <c r="A667">
        <v>69792</v>
      </c>
      <c r="B667" t="s">
        <v>44</v>
      </c>
      <c r="C667" t="s">
        <v>37</v>
      </c>
      <c r="D667" s="11">
        <v>2844</v>
      </c>
      <c r="E667">
        <v>250.34</v>
      </c>
      <c r="F667">
        <v>358</v>
      </c>
      <c r="G667">
        <f t="shared" si="70"/>
        <v>1018152</v>
      </c>
      <c r="H667" t="s">
        <v>72</v>
      </c>
      <c r="J667" s="9">
        <v>45139</v>
      </c>
      <c r="K667" t="s">
        <v>40</v>
      </c>
      <c r="L667" t="s">
        <v>28</v>
      </c>
      <c r="M667" t="str">
        <f t="shared" si="71"/>
        <v>Private Industry</v>
      </c>
      <c r="N667" t="str">
        <f t="shared" si="72"/>
        <v>Large Order</v>
      </c>
      <c r="O667">
        <f t="shared" si="73"/>
        <v>0</v>
      </c>
      <c r="P667">
        <f t="shared" si="74"/>
        <v>0</v>
      </c>
      <c r="Q667" t="b">
        <f t="shared" si="75"/>
        <v>0</v>
      </c>
      <c r="R667">
        <f t="shared" si="76"/>
        <v>0</v>
      </c>
      <c r="S667" s="14">
        <f>_xlfn.XLOOKUP(B667,Summary!$C$10:$C$15,Summary!$B$10:$B$15)</f>
        <v>0.2</v>
      </c>
      <c r="T667">
        <f>IF(AND(H667="Yes",L667&lt;&gt;"Government"),G667*(_xlfn.XLOOKUP(B667,Summary!$C$10:$C$15,Summary!$B$10:$B$15)),0)</f>
        <v>0</v>
      </c>
    </row>
    <row r="668" spans="1:20" x14ac:dyDescent="0.25">
      <c r="A668">
        <v>69531</v>
      </c>
      <c r="B668" t="s">
        <v>32</v>
      </c>
      <c r="C668" t="s">
        <v>35</v>
      </c>
      <c r="D668" s="11">
        <v>1934</v>
      </c>
      <c r="E668">
        <v>10.82</v>
      </c>
      <c r="F668">
        <v>15</v>
      </c>
      <c r="G668">
        <f t="shared" si="70"/>
        <v>29010</v>
      </c>
      <c r="H668" t="s">
        <v>71</v>
      </c>
      <c r="J668" s="9">
        <v>45515</v>
      </c>
      <c r="K668" t="s">
        <v>40</v>
      </c>
      <c r="L668" t="s">
        <v>24</v>
      </c>
      <c r="M668" t="str">
        <f t="shared" si="71"/>
        <v>Public Sector</v>
      </c>
      <c r="N668" t="str">
        <f t="shared" si="72"/>
        <v>Large Order</v>
      </c>
      <c r="O668">
        <f t="shared" si="73"/>
        <v>6672.3</v>
      </c>
      <c r="P668">
        <f t="shared" si="74"/>
        <v>0</v>
      </c>
      <c r="Q668" t="b">
        <f t="shared" si="75"/>
        <v>0</v>
      </c>
      <c r="R668">
        <f t="shared" si="76"/>
        <v>0</v>
      </c>
      <c r="S668" s="14">
        <f>_xlfn.XLOOKUP(B668,Summary!$C$10:$C$15,Summary!$B$10:$B$15)</f>
        <v>0.23</v>
      </c>
      <c r="T668">
        <f>IF(AND(H668="Yes",L668&lt;&gt;"Government"),G668*(_xlfn.XLOOKUP(B668,Summary!$C$10:$C$15,Summary!$B$10:$B$15)),0)</f>
        <v>0</v>
      </c>
    </row>
    <row r="669" spans="1:20" x14ac:dyDescent="0.25">
      <c r="A669">
        <v>37083</v>
      </c>
      <c r="B669" t="s">
        <v>42</v>
      </c>
      <c r="C669" t="s">
        <v>38</v>
      </c>
      <c r="D669" s="11">
        <v>1683</v>
      </c>
      <c r="E669">
        <v>260.86</v>
      </c>
      <c r="F669">
        <v>355</v>
      </c>
      <c r="G669">
        <f t="shared" si="70"/>
        <v>597465</v>
      </c>
      <c r="H669" t="s">
        <v>72</v>
      </c>
      <c r="J669" s="9">
        <v>45745</v>
      </c>
      <c r="K669" t="s">
        <v>40</v>
      </c>
      <c r="L669" t="s">
        <v>24</v>
      </c>
      <c r="M669" t="str">
        <f t="shared" si="71"/>
        <v>Public Sector</v>
      </c>
      <c r="N669" t="str">
        <f t="shared" si="72"/>
        <v>Large Order</v>
      </c>
      <c r="O669">
        <f t="shared" si="73"/>
        <v>0</v>
      </c>
      <c r="P669">
        <f t="shared" si="74"/>
        <v>0</v>
      </c>
      <c r="Q669" t="b">
        <f t="shared" si="75"/>
        <v>0</v>
      </c>
      <c r="R669">
        <f t="shared" si="76"/>
        <v>0</v>
      </c>
      <c r="S669" s="14">
        <f>_xlfn.XLOOKUP(B669,Summary!$C$10:$C$15,Summary!$B$10:$B$15)</f>
        <v>0.24</v>
      </c>
      <c r="T669">
        <f>IF(AND(H669="Yes",L669&lt;&gt;"Government"),G669*(_xlfn.XLOOKUP(B669,Summary!$C$10:$C$15,Summary!$B$10:$B$15)),0)</f>
        <v>0</v>
      </c>
    </row>
    <row r="670" spans="1:20" x14ac:dyDescent="0.25">
      <c r="A670">
        <v>60273</v>
      </c>
      <c r="B670" t="s">
        <v>29</v>
      </c>
      <c r="C670" t="s">
        <v>35</v>
      </c>
      <c r="D670" s="11">
        <v>2425</v>
      </c>
      <c r="E670">
        <v>10.6</v>
      </c>
      <c r="F670">
        <v>16</v>
      </c>
      <c r="G670">
        <f t="shared" si="70"/>
        <v>38800</v>
      </c>
      <c r="H670" t="s">
        <v>72</v>
      </c>
      <c r="J670" s="9">
        <v>45096</v>
      </c>
      <c r="K670" t="s">
        <v>41</v>
      </c>
      <c r="L670" t="s">
        <v>31</v>
      </c>
      <c r="M670" t="str">
        <f t="shared" si="71"/>
        <v>Private Industry</v>
      </c>
      <c r="N670" t="str">
        <f t="shared" si="72"/>
        <v>Large Order</v>
      </c>
      <c r="O670">
        <f t="shared" si="73"/>
        <v>0</v>
      </c>
      <c r="P670">
        <f t="shared" si="74"/>
        <v>0</v>
      </c>
      <c r="Q670" t="b">
        <f t="shared" si="75"/>
        <v>0</v>
      </c>
      <c r="R670">
        <f t="shared" si="76"/>
        <v>0</v>
      </c>
      <c r="S670" s="14">
        <f>_xlfn.XLOOKUP(B670,Summary!$C$10:$C$15,Summary!$B$10:$B$15)</f>
        <v>0.22</v>
      </c>
      <c r="T670">
        <f>IF(AND(H670="Yes",L670&lt;&gt;"Government"),G670*(_xlfn.XLOOKUP(B670,Summary!$C$10:$C$15,Summary!$B$10:$B$15)),0)</f>
        <v>0</v>
      </c>
    </row>
    <row r="671" spans="1:20" x14ac:dyDescent="0.25">
      <c r="A671">
        <v>26751</v>
      </c>
      <c r="B671" t="s">
        <v>27</v>
      </c>
      <c r="C671" t="s">
        <v>35</v>
      </c>
      <c r="D671" s="11">
        <v>57</v>
      </c>
      <c r="E671">
        <v>10.95</v>
      </c>
      <c r="F671">
        <v>14</v>
      </c>
      <c r="G671">
        <f t="shared" si="70"/>
        <v>798</v>
      </c>
      <c r="H671" t="s">
        <v>71</v>
      </c>
      <c r="J671" s="9">
        <v>45487</v>
      </c>
      <c r="K671" t="s">
        <v>40</v>
      </c>
      <c r="L671" t="s">
        <v>28</v>
      </c>
      <c r="M671" t="str">
        <f t="shared" si="71"/>
        <v>Private Industry</v>
      </c>
      <c r="N671" t="str">
        <f t="shared" si="72"/>
        <v>Small Order</v>
      </c>
      <c r="O671">
        <f t="shared" si="73"/>
        <v>183.54000000000002</v>
      </c>
      <c r="P671">
        <f t="shared" si="74"/>
        <v>183.54000000000002</v>
      </c>
      <c r="Q671" t="b">
        <f t="shared" si="75"/>
        <v>1</v>
      </c>
      <c r="R671">
        <f t="shared" si="76"/>
        <v>183.54000000000002</v>
      </c>
      <c r="S671" s="14">
        <f>_xlfn.XLOOKUP(B671,Summary!$C$10:$C$15,Summary!$B$10:$B$15)</f>
        <v>0.19</v>
      </c>
      <c r="T671">
        <f>IF(AND(H671="Yes",L671&lt;&gt;"Government"),G671*(_xlfn.XLOOKUP(B671,Summary!$C$10:$C$15,Summary!$B$10:$B$15)),0)</f>
        <v>151.62</v>
      </c>
    </row>
    <row r="672" spans="1:20" x14ac:dyDescent="0.25">
      <c r="A672">
        <v>65787</v>
      </c>
      <c r="B672" t="s">
        <v>42</v>
      </c>
      <c r="C672" t="s">
        <v>25</v>
      </c>
      <c r="D672" s="11">
        <v>2529</v>
      </c>
      <c r="E672">
        <v>3.17</v>
      </c>
      <c r="F672">
        <v>4</v>
      </c>
      <c r="G672">
        <f t="shared" si="70"/>
        <v>10116</v>
      </c>
      <c r="H672" t="s">
        <v>72</v>
      </c>
      <c r="J672" s="9">
        <v>45138</v>
      </c>
      <c r="K672" t="s">
        <v>39</v>
      </c>
      <c r="L672" t="s">
        <v>24</v>
      </c>
      <c r="M672" t="str">
        <f t="shared" si="71"/>
        <v>Public Sector</v>
      </c>
      <c r="N672" t="str">
        <f t="shared" si="72"/>
        <v>Large Order</v>
      </c>
      <c r="O672">
        <f t="shared" si="73"/>
        <v>0</v>
      </c>
      <c r="P672">
        <f t="shared" si="74"/>
        <v>0</v>
      </c>
      <c r="Q672" t="b">
        <f t="shared" si="75"/>
        <v>0</v>
      </c>
      <c r="R672">
        <f t="shared" si="76"/>
        <v>0</v>
      </c>
      <c r="S672" s="14">
        <f>_xlfn.XLOOKUP(B672,Summary!$C$10:$C$15,Summary!$B$10:$B$15)</f>
        <v>0.24</v>
      </c>
      <c r="T672">
        <f>IF(AND(H672="Yes",L672&lt;&gt;"Government"),G672*(_xlfn.XLOOKUP(B672,Summary!$C$10:$C$15,Summary!$B$10:$B$15)),0)</f>
        <v>0</v>
      </c>
    </row>
    <row r="673" spans="1:20" x14ac:dyDescent="0.25">
      <c r="A673">
        <v>92123</v>
      </c>
      <c r="B673" t="s">
        <v>43</v>
      </c>
      <c r="C673" t="s">
        <v>30</v>
      </c>
      <c r="D673" s="11">
        <v>2723</v>
      </c>
      <c r="E673">
        <v>5.9</v>
      </c>
      <c r="F673">
        <v>9</v>
      </c>
      <c r="G673">
        <f t="shared" si="70"/>
        <v>24507</v>
      </c>
      <c r="H673" t="s">
        <v>71</v>
      </c>
      <c r="J673" s="9">
        <v>45606</v>
      </c>
      <c r="K673" t="s">
        <v>40</v>
      </c>
      <c r="L673" t="s">
        <v>31</v>
      </c>
      <c r="M673" t="str">
        <f t="shared" si="71"/>
        <v>Private Industry</v>
      </c>
      <c r="N673" t="str">
        <f t="shared" si="72"/>
        <v>Large Order</v>
      </c>
      <c r="O673">
        <f t="shared" si="73"/>
        <v>5636.6100000000006</v>
      </c>
      <c r="P673">
        <f t="shared" si="74"/>
        <v>5636.6100000000006</v>
      </c>
      <c r="Q673" t="b">
        <f t="shared" si="75"/>
        <v>1</v>
      </c>
      <c r="R673">
        <f t="shared" si="76"/>
        <v>5636.6100000000006</v>
      </c>
      <c r="S673" s="14">
        <f>_xlfn.XLOOKUP(B673,Summary!$C$10:$C$15,Summary!$B$10:$B$15)</f>
        <v>0.21</v>
      </c>
      <c r="T673">
        <f>IF(AND(H673="Yes",L673&lt;&gt;"Government"),G673*(_xlfn.XLOOKUP(B673,Summary!$C$10:$C$15,Summary!$B$10:$B$15)),0)</f>
        <v>5146.47</v>
      </c>
    </row>
    <row r="674" spans="1:20" x14ac:dyDescent="0.25">
      <c r="A674">
        <v>86862</v>
      </c>
      <c r="B674" t="s">
        <v>32</v>
      </c>
      <c r="C674" t="s">
        <v>25</v>
      </c>
      <c r="D674" s="11">
        <v>819</v>
      </c>
      <c r="E674">
        <v>3.3</v>
      </c>
      <c r="F674">
        <v>5</v>
      </c>
      <c r="G674">
        <f t="shared" si="70"/>
        <v>4095</v>
      </c>
      <c r="H674" t="s">
        <v>72</v>
      </c>
      <c r="J674" s="9">
        <v>45520</v>
      </c>
      <c r="K674" t="s">
        <v>40</v>
      </c>
      <c r="L674" t="s">
        <v>24</v>
      </c>
      <c r="M674" t="str">
        <f t="shared" si="71"/>
        <v>Public Sector</v>
      </c>
      <c r="N674" t="str">
        <f t="shared" si="72"/>
        <v>Small Order</v>
      </c>
      <c r="O674">
        <f t="shared" si="73"/>
        <v>0</v>
      </c>
      <c r="P674">
        <f t="shared" si="74"/>
        <v>0</v>
      </c>
      <c r="Q674" t="b">
        <f t="shared" si="75"/>
        <v>0</v>
      </c>
      <c r="R674">
        <f t="shared" si="76"/>
        <v>0</v>
      </c>
      <c r="S674" s="14">
        <f>_xlfn.XLOOKUP(B674,Summary!$C$10:$C$15,Summary!$B$10:$B$15)</f>
        <v>0.23</v>
      </c>
      <c r="T674">
        <f>IF(AND(H674="Yes",L674&lt;&gt;"Government"),G674*(_xlfn.XLOOKUP(B674,Summary!$C$10:$C$15,Summary!$B$10:$B$15)),0)</f>
        <v>0</v>
      </c>
    </row>
    <row r="675" spans="1:20" x14ac:dyDescent="0.25">
      <c r="A675">
        <v>98174</v>
      </c>
      <c r="B675" t="s">
        <v>44</v>
      </c>
      <c r="C675" t="s">
        <v>30</v>
      </c>
      <c r="D675" s="11">
        <v>345</v>
      </c>
      <c r="E675">
        <v>5.43</v>
      </c>
      <c r="F675">
        <v>8</v>
      </c>
      <c r="G675">
        <f t="shared" si="70"/>
        <v>2760</v>
      </c>
      <c r="H675" t="s">
        <v>72</v>
      </c>
      <c r="J675" s="9">
        <v>45604</v>
      </c>
      <c r="K675" t="s">
        <v>26</v>
      </c>
      <c r="L675" t="s">
        <v>33</v>
      </c>
      <c r="M675" t="str">
        <f t="shared" si="71"/>
        <v>Private Industry</v>
      </c>
      <c r="N675" t="str">
        <f t="shared" si="72"/>
        <v>Small Order</v>
      </c>
      <c r="O675">
        <f t="shared" si="73"/>
        <v>0</v>
      </c>
      <c r="P675">
        <f t="shared" si="74"/>
        <v>0</v>
      </c>
      <c r="Q675" t="b">
        <f t="shared" si="75"/>
        <v>0</v>
      </c>
      <c r="R675">
        <f t="shared" si="76"/>
        <v>0</v>
      </c>
      <c r="S675" s="14">
        <f>_xlfn.XLOOKUP(B675,Summary!$C$10:$C$15,Summary!$B$10:$B$15)</f>
        <v>0.2</v>
      </c>
      <c r="T675">
        <f>IF(AND(H675="Yes",L675&lt;&gt;"Government"),G675*(_xlfn.XLOOKUP(B675,Summary!$C$10:$C$15,Summary!$B$10:$B$15)),0)</f>
        <v>0</v>
      </c>
    </row>
    <row r="676" spans="1:20" x14ac:dyDescent="0.25">
      <c r="A676">
        <v>80672</v>
      </c>
      <c r="B676" t="s">
        <v>29</v>
      </c>
      <c r="C676" t="s">
        <v>25</v>
      </c>
      <c r="D676" s="11">
        <v>2155</v>
      </c>
      <c r="E676">
        <v>3.52</v>
      </c>
      <c r="F676">
        <v>4</v>
      </c>
      <c r="G676">
        <f t="shared" si="70"/>
        <v>8620</v>
      </c>
      <c r="H676" t="s">
        <v>71</v>
      </c>
      <c r="J676" s="9">
        <v>45514</v>
      </c>
      <c r="K676" t="s">
        <v>39</v>
      </c>
      <c r="L676" t="s">
        <v>24</v>
      </c>
      <c r="M676" t="str">
        <f t="shared" si="71"/>
        <v>Public Sector</v>
      </c>
      <c r="N676" t="str">
        <f t="shared" si="72"/>
        <v>Large Order</v>
      </c>
      <c r="O676">
        <f t="shared" si="73"/>
        <v>1982.6000000000001</v>
      </c>
      <c r="P676">
        <f t="shared" si="74"/>
        <v>0</v>
      </c>
      <c r="Q676" t="b">
        <f t="shared" si="75"/>
        <v>0</v>
      </c>
      <c r="R676">
        <f t="shared" si="76"/>
        <v>0</v>
      </c>
      <c r="S676" s="14">
        <f>_xlfn.XLOOKUP(B676,Summary!$C$10:$C$15,Summary!$B$10:$B$15)</f>
        <v>0.22</v>
      </c>
      <c r="T676">
        <f>IF(AND(H676="Yes",L676&lt;&gt;"Government"),G676*(_xlfn.XLOOKUP(B676,Summary!$C$10:$C$15,Summary!$B$10:$B$15)),0)</f>
        <v>0</v>
      </c>
    </row>
    <row r="677" spans="1:20" x14ac:dyDescent="0.25">
      <c r="A677">
        <v>67216</v>
      </c>
      <c r="B677" t="s">
        <v>27</v>
      </c>
      <c r="C677" t="s">
        <v>35</v>
      </c>
      <c r="D677" s="11">
        <v>1085</v>
      </c>
      <c r="E677">
        <v>10.72</v>
      </c>
      <c r="F677">
        <v>12</v>
      </c>
      <c r="G677">
        <f t="shared" si="70"/>
        <v>13020</v>
      </c>
      <c r="H677" t="s">
        <v>72</v>
      </c>
      <c r="J677" s="9">
        <v>45148</v>
      </c>
      <c r="K677" t="s">
        <v>41</v>
      </c>
      <c r="L677" t="s">
        <v>33</v>
      </c>
      <c r="M677" t="str">
        <f t="shared" si="71"/>
        <v>Private Industry</v>
      </c>
      <c r="N677" t="str">
        <f t="shared" si="72"/>
        <v>Small Order</v>
      </c>
      <c r="O677">
        <f t="shared" si="73"/>
        <v>0</v>
      </c>
      <c r="P677">
        <f t="shared" si="74"/>
        <v>0</v>
      </c>
      <c r="Q677" t="b">
        <f t="shared" si="75"/>
        <v>0</v>
      </c>
      <c r="R677">
        <f t="shared" si="76"/>
        <v>0</v>
      </c>
      <c r="S677" s="14">
        <f>_xlfn.XLOOKUP(B677,Summary!$C$10:$C$15,Summary!$B$10:$B$15)</f>
        <v>0.19</v>
      </c>
      <c r="T677">
        <f>IF(AND(H677="Yes",L677&lt;&gt;"Government"),G677*(_xlfn.XLOOKUP(B677,Summary!$C$10:$C$15,Summary!$B$10:$B$15)),0)</f>
        <v>0</v>
      </c>
    </row>
    <row r="678" spans="1:20" x14ac:dyDescent="0.25">
      <c r="A678">
        <v>76243</v>
      </c>
      <c r="B678" t="s">
        <v>29</v>
      </c>
      <c r="C678" t="s">
        <v>35</v>
      </c>
      <c r="D678" s="11">
        <v>2101</v>
      </c>
      <c r="E678">
        <v>10.56</v>
      </c>
      <c r="F678">
        <v>12</v>
      </c>
      <c r="G678">
        <f t="shared" si="70"/>
        <v>25212</v>
      </c>
      <c r="H678" t="s">
        <v>71</v>
      </c>
      <c r="J678" s="9">
        <v>45174</v>
      </c>
      <c r="K678" t="s">
        <v>40</v>
      </c>
      <c r="L678" t="s">
        <v>28</v>
      </c>
      <c r="M678" t="str">
        <f t="shared" si="71"/>
        <v>Private Industry</v>
      </c>
      <c r="N678" t="str">
        <f t="shared" si="72"/>
        <v>Large Order</v>
      </c>
      <c r="O678">
        <f t="shared" si="73"/>
        <v>5798.76</v>
      </c>
      <c r="P678">
        <f t="shared" si="74"/>
        <v>5798.76</v>
      </c>
      <c r="Q678" t="b">
        <f t="shared" si="75"/>
        <v>1</v>
      </c>
      <c r="R678">
        <f t="shared" si="76"/>
        <v>5798.76</v>
      </c>
      <c r="S678" s="14">
        <f>_xlfn.XLOOKUP(B678,Summary!$C$10:$C$15,Summary!$B$10:$B$15)</f>
        <v>0.22</v>
      </c>
      <c r="T678">
        <f>IF(AND(H678="Yes",L678&lt;&gt;"Government"),G678*(_xlfn.XLOOKUP(B678,Summary!$C$10:$C$15,Summary!$B$10:$B$15)),0)</f>
        <v>5546.64</v>
      </c>
    </row>
    <row r="679" spans="1:20" x14ac:dyDescent="0.25">
      <c r="A679">
        <v>53988</v>
      </c>
      <c r="B679" t="s">
        <v>27</v>
      </c>
      <c r="C679" t="s">
        <v>36</v>
      </c>
      <c r="D679" s="11">
        <v>2536</v>
      </c>
      <c r="E679">
        <v>120.51</v>
      </c>
      <c r="F679">
        <v>178</v>
      </c>
      <c r="G679">
        <f t="shared" si="70"/>
        <v>451408</v>
      </c>
      <c r="H679" t="s">
        <v>72</v>
      </c>
      <c r="J679" s="9">
        <v>45741</v>
      </c>
      <c r="K679" t="s">
        <v>41</v>
      </c>
      <c r="L679" t="s">
        <v>34</v>
      </c>
      <c r="M679" t="str">
        <f t="shared" si="71"/>
        <v>Private Industry</v>
      </c>
      <c r="N679" t="str">
        <f t="shared" si="72"/>
        <v>Large Order</v>
      </c>
      <c r="O679">
        <f t="shared" si="73"/>
        <v>0</v>
      </c>
      <c r="P679">
        <f t="shared" si="74"/>
        <v>0</v>
      </c>
      <c r="Q679" t="b">
        <f t="shared" si="75"/>
        <v>0</v>
      </c>
      <c r="R679">
        <f t="shared" si="76"/>
        <v>0</v>
      </c>
      <c r="S679" s="14">
        <f>_xlfn.XLOOKUP(B679,Summary!$C$10:$C$15,Summary!$B$10:$B$15)</f>
        <v>0.19</v>
      </c>
      <c r="T679">
        <f>IF(AND(H679="Yes",L679&lt;&gt;"Government"),G679*(_xlfn.XLOOKUP(B679,Summary!$C$10:$C$15,Summary!$B$10:$B$15)),0)</f>
        <v>0</v>
      </c>
    </row>
    <row r="680" spans="1:20" x14ac:dyDescent="0.25">
      <c r="A680">
        <v>21512</v>
      </c>
      <c r="B680" t="s">
        <v>42</v>
      </c>
      <c r="C680" t="s">
        <v>25</v>
      </c>
      <c r="D680" s="11">
        <v>2791</v>
      </c>
      <c r="E680">
        <v>3.85</v>
      </c>
      <c r="F680">
        <v>4</v>
      </c>
      <c r="G680">
        <f t="shared" si="70"/>
        <v>11164</v>
      </c>
      <c r="H680" t="s">
        <v>72</v>
      </c>
      <c r="J680" s="9">
        <v>45286</v>
      </c>
      <c r="K680" t="s">
        <v>40</v>
      </c>
      <c r="L680" t="s">
        <v>28</v>
      </c>
      <c r="M680" t="str">
        <f t="shared" si="71"/>
        <v>Private Industry</v>
      </c>
      <c r="N680" t="str">
        <f t="shared" si="72"/>
        <v>Large Order</v>
      </c>
      <c r="O680">
        <f t="shared" si="73"/>
        <v>0</v>
      </c>
      <c r="P680">
        <f t="shared" si="74"/>
        <v>0</v>
      </c>
      <c r="Q680" t="b">
        <f t="shared" si="75"/>
        <v>0</v>
      </c>
      <c r="R680">
        <f t="shared" si="76"/>
        <v>0</v>
      </c>
      <c r="S680" s="14">
        <f>_xlfn.XLOOKUP(B680,Summary!$C$10:$C$15,Summary!$B$10:$B$15)</f>
        <v>0.24</v>
      </c>
      <c r="T680">
        <f>IF(AND(H680="Yes",L680&lt;&gt;"Government"),G680*(_xlfn.XLOOKUP(B680,Summary!$C$10:$C$15,Summary!$B$10:$B$15)),0)</f>
        <v>0</v>
      </c>
    </row>
    <row r="681" spans="1:20" x14ac:dyDescent="0.25">
      <c r="A681">
        <v>34559</v>
      </c>
      <c r="B681" t="s">
        <v>42</v>
      </c>
      <c r="C681" t="s">
        <v>36</v>
      </c>
      <c r="D681" s="11">
        <v>609</v>
      </c>
      <c r="E681">
        <v>120.72</v>
      </c>
      <c r="F681">
        <v>136</v>
      </c>
      <c r="G681">
        <f t="shared" si="70"/>
        <v>82824</v>
      </c>
      <c r="H681" t="s">
        <v>71</v>
      </c>
      <c r="J681" s="9">
        <v>45398</v>
      </c>
      <c r="K681" t="s">
        <v>40</v>
      </c>
      <c r="L681" t="s">
        <v>24</v>
      </c>
      <c r="M681" t="str">
        <f t="shared" si="71"/>
        <v>Public Sector</v>
      </c>
      <c r="N681" t="str">
        <f t="shared" si="72"/>
        <v>Small Order</v>
      </c>
      <c r="O681">
        <f t="shared" si="73"/>
        <v>19049.52</v>
      </c>
      <c r="P681">
        <f t="shared" si="74"/>
        <v>0</v>
      </c>
      <c r="Q681" t="b">
        <f t="shared" si="75"/>
        <v>0</v>
      </c>
      <c r="R681">
        <f t="shared" si="76"/>
        <v>0</v>
      </c>
      <c r="S681" s="14">
        <f>_xlfn.XLOOKUP(B681,Summary!$C$10:$C$15,Summary!$B$10:$B$15)</f>
        <v>0.24</v>
      </c>
      <c r="T681">
        <f>IF(AND(H681="Yes",L681&lt;&gt;"Government"),G681*(_xlfn.XLOOKUP(B681,Summary!$C$10:$C$15,Summary!$B$10:$B$15)),0)</f>
        <v>0</v>
      </c>
    </row>
    <row r="682" spans="1:20" x14ac:dyDescent="0.25">
      <c r="A682">
        <v>83036</v>
      </c>
      <c r="B682" t="s">
        <v>43</v>
      </c>
      <c r="C682" t="s">
        <v>37</v>
      </c>
      <c r="D682" s="11">
        <v>2844</v>
      </c>
      <c r="E682">
        <v>250.01</v>
      </c>
      <c r="F682">
        <v>268</v>
      </c>
      <c r="G682">
        <f t="shared" si="70"/>
        <v>762192</v>
      </c>
      <c r="H682" t="s">
        <v>72</v>
      </c>
      <c r="J682" s="9">
        <v>45397</v>
      </c>
      <c r="K682" t="s">
        <v>39</v>
      </c>
      <c r="L682" t="s">
        <v>34</v>
      </c>
      <c r="M682" t="str">
        <f t="shared" si="71"/>
        <v>Private Industry</v>
      </c>
      <c r="N682" t="str">
        <f t="shared" si="72"/>
        <v>Large Order</v>
      </c>
      <c r="O682">
        <f t="shared" si="73"/>
        <v>0</v>
      </c>
      <c r="P682">
        <f t="shared" si="74"/>
        <v>0</v>
      </c>
      <c r="Q682" t="b">
        <f t="shared" si="75"/>
        <v>0</v>
      </c>
      <c r="R682">
        <f t="shared" si="76"/>
        <v>0</v>
      </c>
      <c r="S682" s="14">
        <f>_xlfn.XLOOKUP(B682,Summary!$C$10:$C$15,Summary!$B$10:$B$15)</f>
        <v>0.21</v>
      </c>
      <c r="T682">
        <f>IF(AND(H682="Yes",L682&lt;&gt;"Government"),G682*(_xlfn.XLOOKUP(B682,Summary!$C$10:$C$15,Summary!$B$10:$B$15)),0)</f>
        <v>0</v>
      </c>
    </row>
    <row r="683" spans="1:20" x14ac:dyDescent="0.25">
      <c r="A683">
        <v>30825</v>
      </c>
      <c r="B683" t="s">
        <v>27</v>
      </c>
      <c r="C683" t="s">
        <v>38</v>
      </c>
      <c r="D683" s="11">
        <v>259</v>
      </c>
      <c r="E683">
        <v>260.16000000000003</v>
      </c>
      <c r="F683">
        <v>287</v>
      </c>
      <c r="G683">
        <f t="shared" si="70"/>
        <v>74333</v>
      </c>
      <c r="H683" t="s">
        <v>72</v>
      </c>
      <c r="J683" s="9">
        <v>45244</v>
      </c>
      <c r="K683" t="s">
        <v>39</v>
      </c>
      <c r="L683" t="s">
        <v>34</v>
      </c>
      <c r="M683" t="str">
        <f t="shared" si="71"/>
        <v>Private Industry</v>
      </c>
      <c r="N683" t="str">
        <f t="shared" si="72"/>
        <v>Small Order</v>
      </c>
      <c r="O683">
        <f t="shared" si="73"/>
        <v>0</v>
      </c>
      <c r="P683">
        <f t="shared" si="74"/>
        <v>0</v>
      </c>
      <c r="Q683" t="b">
        <f t="shared" si="75"/>
        <v>0</v>
      </c>
      <c r="R683">
        <f t="shared" si="76"/>
        <v>0</v>
      </c>
      <c r="S683" s="14">
        <f>_xlfn.XLOOKUP(B683,Summary!$C$10:$C$15,Summary!$B$10:$B$15)</f>
        <v>0.19</v>
      </c>
      <c r="T683">
        <f>IF(AND(H683="Yes",L683&lt;&gt;"Government"),G683*(_xlfn.XLOOKUP(B683,Summary!$C$10:$C$15,Summary!$B$10:$B$15)),0)</f>
        <v>0</v>
      </c>
    </row>
    <row r="684" spans="1:20" x14ac:dyDescent="0.25">
      <c r="A684">
        <v>86228</v>
      </c>
      <c r="B684" t="s">
        <v>29</v>
      </c>
      <c r="C684" t="s">
        <v>36</v>
      </c>
      <c r="D684" s="11">
        <v>604</v>
      </c>
      <c r="E684">
        <v>120.21</v>
      </c>
      <c r="F684">
        <v>165</v>
      </c>
      <c r="G684">
        <f t="shared" si="70"/>
        <v>99660</v>
      </c>
      <c r="H684" t="s">
        <v>71</v>
      </c>
      <c r="J684" s="9">
        <v>45257</v>
      </c>
      <c r="K684" t="s">
        <v>41</v>
      </c>
      <c r="L684" t="s">
        <v>31</v>
      </c>
      <c r="M684" t="str">
        <f t="shared" si="71"/>
        <v>Private Industry</v>
      </c>
      <c r="N684" t="str">
        <f t="shared" si="72"/>
        <v>Small Order</v>
      </c>
      <c r="O684">
        <f t="shared" si="73"/>
        <v>22921.8</v>
      </c>
      <c r="P684">
        <f t="shared" si="74"/>
        <v>22921.8</v>
      </c>
      <c r="Q684" t="b">
        <f t="shared" si="75"/>
        <v>1</v>
      </c>
      <c r="R684">
        <f t="shared" si="76"/>
        <v>22921.8</v>
      </c>
      <c r="S684" s="14">
        <f>_xlfn.XLOOKUP(B684,Summary!$C$10:$C$15,Summary!$B$10:$B$15)</f>
        <v>0.22</v>
      </c>
      <c r="T684">
        <f>IF(AND(H684="Yes",L684&lt;&gt;"Government"),G684*(_xlfn.XLOOKUP(B684,Summary!$C$10:$C$15,Summary!$B$10:$B$15)),0)</f>
        <v>21925.200000000001</v>
      </c>
    </row>
    <row r="685" spans="1:20" x14ac:dyDescent="0.25">
      <c r="A685">
        <v>17855</v>
      </c>
      <c r="B685" t="s">
        <v>27</v>
      </c>
      <c r="C685" t="s">
        <v>35</v>
      </c>
      <c r="D685" s="11">
        <v>1706</v>
      </c>
      <c r="E685">
        <v>10.1</v>
      </c>
      <c r="F685">
        <v>14</v>
      </c>
      <c r="G685">
        <f t="shared" si="70"/>
        <v>23884</v>
      </c>
      <c r="H685" t="s">
        <v>72</v>
      </c>
      <c r="J685" s="9">
        <v>45744</v>
      </c>
      <c r="K685" t="s">
        <v>39</v>
      </c>
      <c r="L685" t="s">
        <v>33</v>
      </c>
      <c r="M685" t="str">
        <f t="shared" si="71"/>
        <v>Private Industry</v>
      </c>
      <c r="N685" t="str">
        <f t="shared" si="72"/>
        <v>Large Order</v>
      </c>
      <c r="O685">
        <f t="shared" si="73"/>
        <v>0</v>
      </c>
      <c r="P685">
        <f t="shared" si="74"/>
        <v>0</v>
      </c>
      <c r="Q685" t="b">
        <f t="shared" si="75"/>
        <v>0</v>
      </c>
      <c r="R685">
        <f t="shared" si="76"/>
        <v>0</v>
      </c>
      <c r="S685" s="14">
        <f>_xlfn.XLOOKUP(B685,Summary!$C$10:$C$15,Summary!$B$10:$B$15)</f>
        <v>0.19</v>
      </c>
      <c r="T685">
        <f>IF(AND(H685="Yes",L685&lt;&gt;"Government"),G685*(_xlfn.XLOOKUP(B685,Summary!$C$10:$C$15,Summary!$B$10:$B$15)),0)</f>
        <v>0</v>
      </c>
    </row>
    <row r="686" spans="1:20" x14ac:dyDescent="0.25">
      <c r="A686">
        <v>62163</v>
      </c>
      <c r="B686" t="s">
        <v>44</v>
      </c>
      <c r="C686" t="s">
        <v>37</v>
      </c>
      <c r="D686" s="11">
        <v>2134</v>
      </c>
      <c r="E686">
        <v>250.6</v>
      </c>
      <c r="F686">
        <v>289</v>
      </c>
      <c r="G686">
        <f t="shared" si="70"/>
        <v>616726</v>
      </c>
      <c r="H686" t="s">
        <v>72</v>
      </c>
      <c r="J686" s="9">
        <v>45094</v>
      </c>
      <c r="K686" t="s">
        <v>40</v>
      </c>
      <c r="L686" t="s">
        <v>34</v>
      </c>
      <c r="M686" t="str">
        <f t="shared" si="71"/>
        <v>Private Industry</v>
      </c>
      <c r="N686" t="str">
        <f t="shared" si="72"/>
        <v>Large Order</v>
      </c>
      <c r="O686">
        <f t="shared" si="73"/>
        <v>0</v>
      </c>
      <c r="P686">
        <f t="shared" si="74"/>
        <v>0</v>
      </c>
      <c r="Q686" t="b">
        <f t="shared" si="75"/>
        <v>0</v>
      </c>
      <c r="R686">
        <f t="shared" si="76"/>
        <v>0</v>
      </c>
      <c r="S686" s="14">
        <f>_xlfn.XLOOKUP(B686,Summary!$C$10:$C$15,Summary!$B$10:$B$15)</f>
        <v>0.2</v>
      </c>
      <c r="T686">
        <f>IF(AND(H686="Yes",L686&lt;&gt;"Government"),G686*(_xlfn.XLOOKUP(B686,Summary!$C$10:$C$15,Summary!$B$10:$B$15)),0)</f>
        <v>0</v>
      </c>
    </row>
    <row r="687" spans="1:20" x14ac:dyDescent="0.25">
      <c r="A687">
        <v>48322</v>
      </c>
      <c r="B687" t="s">
        <v>42</v>
      </c>
      <c r="C687" t="s">
        <v>30</v>
      </c>
      <c r="D687" s="11">
        <v>1715</v>
      </c>
      <c r="E687">
        <v>5.88</v>
      </c>
      <c r="F687">
        <v>9</v>
      </c>
      <c r="G687">
        <f t="shared" si="70"/>
        <v>15435</v>
      </c>
      <c r="H687" t="s">
        <v>72</v>
      </c>
      <c r="J687" s="9">
        <v>45188</v>
      </c>
      <c r="K687" t="s">
        <v>41</v>
      </c>
      <c r="L687" t="s">
        <v>24</v>
      </c>
      <c r="M687" t="str">
        <f t="shared" si="71"/>
        <v>Public Sector</v>
      </c>
      <c r="N687" t="str">
        <f t="shared" si="72"/>
        <v>Large Order</v>
      </c>
      <c r="O687">
        <f t="shared" si="73"/>
        <v>0</v>
      </c>
      <c r="P687">
        <f t="shared" si="74"/>
        <v>0</v>
      </c>
      <c r="Q687" t="b">
        <f t="shared" si="75"/>
        <v>0</v>
      </c>
      <c r="R687">
        <f t="shared" si="76"/>
        <v>0</v>
      </c>
      <c r="S687" s="14">
        <f>_xlfn.XLOOKUP(B687,Summary!$C$10:$C$15,Summary!$B$10:$B$15)</f>
        <v>0.24</v>
      </c>
      <c r="T687">
        <f>IF(AND(H687="Yes",L687&lt;&gt;"Government"),G687*(_xlfn.XLOOKUP(B687,Summary!$C$10:$C$15,Summary!$B$10:$B$15)),0)</f>
        <v>0</v>
      </c>
    </row>
    <row r="688" spans="1:20" x14ac:dyDescent="0.25">
      <c r="A688">
        <v>66776</v>
      </c>
      <c r="B688" t="s">
        <v>42</v>
      </c>
      <c r="C688" t="s">
        <v>25</v>
      </c>
      <c r="D688" s="11">
        <v>727</v>
      </c>
      <c r="E688">
        <v>3.7</v>
      </c>
      <c r="F688">
        <v>5</v>
      </c>
      <c r="G688">
        <f t="shared" si="70"/>
        <v>3635</v>
      </c>
      <c r="H688" t="s">
        <v>71</v>
      </c>
      <c r="J688" s="9">
        <v>45409</v>
      </c>
      <c r="K688" t="s">
        <v>40</v>
      </c>
      <c r="L688" t="s">
        <v>31</v>
      </c>
      <c r="M688" t="str">
        <f t="shared" si="71"/>
        <v>Private Industry</v>
      </c>
      <c r="N688" t="str">
        <f t="shared" si="72"/>
        <v>Small Order</v>
      </c>
      <c r="O688">
        <f t="shared" si="73"/>
        <v>836.05000000000007</v>
      </c>
      <c r="P688">
        <f t="shared" si="74"/>
        <v>836.05000000000007</v>
      </c>
      <c r="Q688" t="b">
        <f t="shared" si="75"/>
        <v>1</v>
      </c>
      <c r="R688">
        <f t="shared" si="76"/>
        <v>836.05000000000007</v>
      </c>
      <c r="S688" s="14">
        <f>_xlfn.XLOOKUP(B688,Summary!$C$10:$C$15,Summary!$B$10:$B$15)</f>
        <v>0.24</v>
      </c>
      <c r="T688">
        <f>IF(AND(H688="Yes",L688&lt;&gt;"Government"),G688*(_xlfn.XLOOKUP(B688,Summary!$C$10:$C$15,Summary!$B$10:$B$15)),0)</f>
        <v>872.4</v>
      </c>
    </row>
    <row r="689" spans="1:20" x14ac:dyDescent="0.25">
      <c r="A689">
        <v>75990</v>
      </c>
      <c r="B689" t="s">
        <v>42</v>
      </c>
      <c r="C689" t="s">
        <v>35</v>
      </c>
      <c r="D689" s="11">
        <v>2689</v>
      </c>
      <c r="E689">
        <v>10.01</v>
      </c>
      <c r="F689">
        <v>14</v>
      </c>
      <c r="G689">
        <f t="shared" si="70"/>
        <v>37646</v>
      </c>
      <c r="H689" t="s">
        <v>72</v>
      </c>
      <c r="J689" s="9">
        <v>45530</v>
      </c>
      <c r="K689" t="s">
        <v>40</v>
      </c>
      <c r="L689" t="s">
        <v>24</v>
      </c>
      <c r="M689" t="str">
        <f t="shared" si="71"/>
        <v>Public Sector</v>
      </c>
      <c r="N689" t="str">
        <f t="shared" si="72"/>
        <v>Large Order</v>
      </c>
      <c r="O689">
        <f t="shared" si="73"/>
        <v>0</v>
      </c>
      <c r="P689">
        <f t="shared" si="74"/>
        <v>0</v>
      </c>
      <c r="Q689" t="b">
        <f t="shared" si="75"/>
        <v>0</v>
      </c>
      <c r="R689">
        <f t="shared" si="76"/>
        <v>0</v>
      </c>
      <c r="S689" s="14">
        <f>_xlfn.XLOOKUP(B689,Summary!$C$10:$C$15,Summary!$B$10:$B$15)</f>
        <v>0.24</v>
      </c>
      <c r="T689">
        <f>IF(AND(H689="Yes",L689&lt;&gt;"Government"),G689*(_xlfn.XLOOKUP(B689,Summary!$C$10:$C$15,Summary!$B$10:$B$15)),0)</f>
        <v>0</v>
      </c>
    </row>
    <row r="690" spans="1:20" x14ac:dyDescent="0.25">
      <c r="A690">
        <v>35944</v>
      </c>
      <c r="B690" t="s">
        <v>42</v>
      </c>
      <c r="C690" t="s">
        <v>30</v>
      </c>
      <c r="D690" s="11">
        <v>2214</v>
      </c>
      <c r="E690">
        <v>5.19</v>
      </c>
      <c r="F690">
        <v>7</v>
      </c>
      <c r="G690">
        <f t="shared" si="70"/>
        <v>15498</v>
      </c>
      <c r="H690" t="s">
        <v>72</v>
      </c>
      <c r="J690" s="9">
        <v>45191</v>
      </c>
      <c r="K690" t="s">
        <v>39</v>
      </c>
      <c r="L690" t="s">
        <v>28</v>
      </c>
      <c r="M690" t="str">
        <f t="shared" si="71"/>
        <v>Private Industry</v>
      </c>
      <c r="N690" t="str">
        <f t="shared" si="72"/>
        <v>Large Order</v>
      </c>
      <c r="O690">
        <f t="shared" si="73"/>
        <v>0</v>
      </c>
      <c r="P690">
        <f t="shared" si="74"/>
        <v>0</v>
      </c>
      <c r="Q690" t="b">
        <f t="shared" si="75"/>
        <v>0</v>
      </c>
      <c r="R690">
        <f t="shared" si="76"/>
        <v>0</v>
      </c>
      <c r="S690" s="14">
        <f>_xlfn.XLOOKUP(B690,Summary!$C$10:$C$15,Summary!$B$10:$B$15)</f>
        <v>0.24</v>
      </c>
      <c r="T690">
        <f>IF(AND(H690="Yes",L690&lt;&gt;"Government"),G690*(_xlfn.XLOOKUP(B690,Summary!$C$10:$C$15,Summary!$B$10:$B$15)),0)</f>
        <v>0</v>
      </c>
    </row>
    <row r="691" spans="1:20" x14ac:dyDescent="0.25">
      <c r="A691">
        <v>64084</v>
      </c>
      <c r="B691" t="s">
        <v>29</v>
      </c>
      <c r="C691" t="s">
        <v>25</v>
      </c>
      <c r="D691" s="11">
        <v>1865</v>
      </c>
      <c r="E691">
        <v>3.99</v>
      </c>
      <c r="F691">
        <v>4</v>
      </c>
      <c r="G691">
        <f t="shared" si="70"/>
        <v>7460</v>
      </c>
      <c r="H691" t="s">
        <v>71</v>
      </c>
      <c r="J691" s="9">
        <v>45218</v>
      </c>
      <c r="K691" t="s">
        <v>40</v>
      </c>
      <c r="L691" t="s">
        <v>31</v>
      </c>
      <c r="M691" t="str">
        <f t="shared" si="71"/>
        <v>Private Industry</v>
      </c>
      <c r="N691" t="str">
        <f t="shared" si="72"/>
        <v>Large Order</v>
      </c>
      <c r="O691">
        <f t="shared" si="73"/>
        <v>1715.8000000000002</v>
      </c>
      <c r="P691">
        <f t="shared" si="74"/>
        <v>1715.8000000000002</v>
      </c>
      <c r="Q691" t="b">
        <f t="shared" si="75"/>
        <v>1</v>
      </c>
      <c r="R691">
        <f t="shared" si="76"/>
        <v>1715.8000000000002</v>
      </c>
      <c r="S691" s="14">
        <f>_xlfn.XLOOKUP(B691,Summary!$C$10:$C$15,Summary!$B$10:$B$15)</f>
        <v>0.22</v>
      </c>
      <c r="T691">
        <f>IF(AND(H691="Yes",L691&lt;&gt;"Government"),G691*(_xlfn.XLOOKUP(B691,Summary!$C$10:$C$15,Summary!$B$10:$B$15)),0)</f>
        <v>1641.2</v>
      </c>
    </row>
    <row r="692" spans="1:20" x14ac:dyDescent="0.25">
      <c r="A692">
        <v>82134</v>
      </c>
      <c r="B692" t="s">
        <v>29</v>
      </c>
      <c r="C692" t="s">
        <v>35</v>
      </c>
      <c r="D692" s="11">
        <v>1198</v>
      </c>
      <c r="E692">
        <v>10.78</v>
      </c>
      <c r="F692">
        <v>16</v>
      </c>
      <c r="G692">
        <f t="shared" si="70"/>
        <v>19168</v>
      </c>
      <c r="H692" t="s">
        <v>71</v>
      </c>
      <c r="J692" s="9">
        <v>45307</v>
      </c>
      <c r="K692" t="s">
        <v>41</v>
      </c>
      <c r="L692" t="s">
        <v>31</v>
      </c>
      <c r="M692" t="str">
        <f t="shared" si="71"/>
        <v>Private Industry</v>
      </c>
      <c r="N692" t="str">
        <f t="shared" si="72"/>
        <v>Small Order</v>
      </c>
      <c r="O692">
        <f t="shared" si="73"/>
        <v>4408.6400000000003</v>
      </c>
      <c r="P692">
        <f t="shared" si="74"/>
        <v>4408.6400000000003</v>
      </c>
      <c r="Q692" t="b">
        <f t="shared" si="75"/>
        <v>1</v>
      </c>
      <c r="R692">
        <f t="shared" si="76"/>
        <v>4408.6400000000003</v>
      </c>
      <c r="S692" s="14">
        <f>_xlfn.XLOOKUP(B692,Summary!$C$10:$C$15,Summary!$B$10:$B$15)</f>
        <v>0.22</v>
      </c>
      <c r="T692">
        <f>IF(AND(H692="Yes",L692&lt;&gt;"Government"),G692*(_xlfn.XLOOKUP(B692,Summary!$C$10:$C$15,Summary!$B$10:$B$15)),0)</f>
        <v>4216.96</v>
      </c>
    </row>
    <row r="693" spans="1:20" x14ac:dyDescent="0.25">
      <c r="A693">
        <v>43580</v>
      </c>
      <c r="B693" t="s">
        <v>29</v>
      </c>
      <c r="C693" t="s">
        <v>30</v>
      </c>
      <c r="D693" s="11">
        <v>322</v>
      </c>
      <c r="E693">
        <v>5.0999999999999996</v>
      </c>
      <c r="F693">
        <v>7</v>
      </c>
      <c r="G693">
        <f t="shared" si="70"/>
        <v>2254</v>
      </c>
      <c r="H693" t="s">
        <v>72</v>
      </c>
      <c r="J693" s="9">
        <v>45695</v>
      </c>
      <c r="K693" t="s">
        <v>40</v>
      </c>
      <c r="L693" t="s">
        <v>34</v>
      </c>
      <c r="M693" t="str">
        <f t="shared" si="71"/>
        <v>Private Industry</v>
      </c>
      <c r="N693" t="str">
        <f t="shared" si="72"/>
        <v>Small Order</v>
      </c>
      <c r="O693">
        <f t="shared" si="73"/>
        <v>0</v>
      </c>
      <c r="P693">
        <f t="shared" si="74"/>
        <v>0</v>
      </c>
      <c r="Q693" t="b">
        <f t="shared" si="75"/>
        <v>0</v>
      </c>
      <c r="R693">
        <f t="shared" si="76"/>
        <v>0</v>
      </c>
      <c r="S693" s="14">
        <f>_xlfn.XLOOKUP(B693,Summary!$C$10:$C$15,Summary!$B$10:$B$15)</f>
        <v>0.22</v>
      </c>
      <c r="T693">
        <f>IF(AND(H693="Yes",L693&lt;&gt;"Government"),G693*(_xlfn.XLOOKUP(B693,Summary!$C$10:$C$15,Summary!$B$10:$B$15)),0)</f>
        <v>0</v>
      </c>
    </row>
    <row r="694" spans="1:20" x14ac:dyDescent="0.25">
      <c r="A694">
        <v>96074</v>
      </c>
      <c r="B694" t="s">
        <v>43</v>
      </c>
      <c r="C694" t="s">
        <v>35</v>
      </c>
      <c r="D694" s="11">
        <v>727</v>
      </c>
      <c r="E694">
        <v>10.54</v>
      </c>
      <c r="F694">
        <v>11</v>
      </c>
      <c r="G694">
        <f t="shared" si="70"/>
        <v>7997</v>
      </c>
      <c r="H694" t="s">
        <v>71</v>
      </c>
      <c r="J694" s="9">
        <v>45149</v>
      </c>
      <c r="K694" t="s">
        <v>40</v>
      </c>
      <c r="L694" t="s">
        <v>24</v>
      </c>
      <c r="M694" t="str">
        <f t="shared" si="71"/>
        <v>Public Sector</v>
      </c>
      <c r="N694" t="str">
        <f t="shared" si="72"/>
        <v>Small Order</v>
      </c>
      <c r="O694">
        <f t="shared" si="73"/>
        <v>1839.3100000000002</v>
      </c>
      <c r="P694">
        <f t="shared" si="74"/>
        <v>0</v>
      </c>
      <c r="Q694" t="b">
        <f t="shared" si="75"/>
        <v>0</v>
      </c>
      <c r="R694">
        <f t="shared" si="76"/>
        <v>0</v>
      </c>
      <c r="S694" s="14">
        <f>_xlfn.XLOOKUP(B694,Summary!$C$10:$C$15,Summary!$B$10:$B$15)</f>
        <v>0.21</v>
      </c>
      <c r="T694">
        <f>IF(AND(H694="Yes",L694&lt;&gt;"Government"),G694*(_xlfn.XLOOKUP(B694,Summary!$C$10:$C$15,Summary!$B$10:$B$15)),0)</f>
        <v>0</v>
      </c>
    </row>
    <row r="695" spans="1:20" x14ac:dyDescent="0.25">
      <c r="A695">
        <v>15295</v>
      </c>
      <c r="B695" t="s">
        <v>43</v>
      </c>
      <c r="C695" t="s">
        <v>35</v>
      </c>
      <c r="D695" s="11">
        <v>2013</v>
      </c>
      <c r="E695">
        <v>10.96</v>
      </c>
      <c r="F695">
        <v>15</v>
      </c>
      <c r="G695">
        <f t="shared" si="70"/>
        <v>30195</v>
      </c>
      <c r="H695" t="s">
        <v>71</v>
      </c>
      <c r="J695" s="9">
        <v>45516</v>
      </c>
      <c r="K695" t="s">
        <v>39</v>
      </c>
      <c r="L695" t="s">
        <v>24</v>
      </c>
      <c r="M695" t="str">
        <f t="shared" si="71"/>
        <v>Public Sector</v>
      </c>
      <c r="N695" t="str">
        <f t="shared" si="72"/>
        <v>Large Order</v>
      </c>
      <c r="O695">
        <f t="shared" si="73"/>
        <v>6944.85</v>
      </c>
      <c r="P695">
        <f t="shared" si="74"/>
        <v>0</v>
      </c>
      <c r="Q695" t="b">
        <f t="shared" si="75"/>
        <v>0</v>
      </c>
      <c r="R695">
        <f t="shared" si="76"/>
        <v>0</v>
      </c>
      <c r="S695" s="14">
        <f>_xlfn.XLOOKUP(B695,Summary!$C$10:$C$15,Summary!$B$10:$B$15)</f>
        <v>0.21</v>
      </c>
      <c r="T695">
        <f>IF(AND(H695="Yes",L695&lt;&gt;"Government"),G695*(_xlfn.XLOOKUP(B695,Summary!$C$10:$C$15,Summary!$B$10:$B$15)),0)</f>
        <v>0</v>
      </c>
    </row>
    <row r="696" spans="1:20" x14ac:dyDescent="0.25">
      <c r="A696">
        <v>42036</v>
      </c>
      <c r="B696" t="s">
        <v>42</v>
      </c>
      <c r="C696" t="s">
        <v>35</v>
      </c>
      <c r="D696" s="11">
        <v>1197</v>
      </c>
      <c r="E696">
        <v>10.02</v>
      </c>
      <c r="F696">
        <v>14</v>
      </c>
      <c r="G696">
        <f t="shared" si="70"/>
        <v>16758</v>
      </c>
      <c r="H696" t="s">
        <v>72</v>
      </c>
      <c r="J696" s="9">
        <v>45109</v>
      </c>
      <c r="K696" t="s">
        <v>41</v>
      </c>
      <c r="L696" t="s">
        <v>24</v>
      </c>
      <c r="M696" t="str">
        <f t="shared" si="71"/>
        <v>Public Sector</v>
      </c>
      <c r="N696" t="str">
        <f t="shared" si="72"/>
        <v>Small Order</v>
      </c>
      <c r="O696">
        <f t="shared" si="73"/>
        <v>0</v>
      </c>
      <c r="P696">
        <f t="shared" si="74"/>
        <v>0</v>
      </c>
      <c r="Q696" t="b">
        <f t="shared" si="75"/>
        <v>0</v>
      </c>
      <c r="R696">
        <f t="shared" si="76"/>
        <v>0</v>
      </c>
      <c r="S696" s="14">
        <f>_xlfn.XLOOKUP(B696,Summary!$C$10:$C$15,Summary!$B$10:$B$15)</f>
        <v>0.24</v>
      </c>
      <c r="T696">
        <f>IF(AND(H696="Yes",L696&lt;&gt;"Government"),G696*(_xlfn.XLOOKUP(B696,Summary!$C$10:$C$15,Summary!$B$10:$B$15)),0)</f>
        <v>0</v>
      </c>
    </row>
    <row r="697" spans="1:20" x14ac:dyDescent="0.25">
      <c r="A697">
        <v>85076</v>
      </c>
      <c r="B697" t="s">
        <v>42</v>
      </c>
      <c r="C697" t="s">
        <v>35</v>
      </c>
      <c r="D697" s="11">
        <v>974</v>
      </c>
      <c r="E697">
        <v>10.26</v>
      </c>
      <c r="F697">
        <v>11</v>
      </c>
      <c r="G697">
        <f t="shared" si="70"/>
        <v>10714</v>
      </c>
      <c r="H697" t="s">
        <v>72</v>
      </c>
      <c r="J697" s="9">
        <v>45789</v>
      </c>
      <c r="K697" t="s">
        <v>26</v>
      </c>
      <c r="L697" t="s">
        <v>28</v>
      </c>
      <c r="M697" t="str">
        <f t="shared" si="71"/>
        <v>Private Industry</v>
      </c>
      <c r="N697" t="str">
        <f t="shared" si="72"/>
        <v>Small Order</v>
      </c>
      <c r="O697">
        <f t="shared" si="73"/>
        <v>0</v>
      </c>
      <c r="P697">
        <f t="shared" si="74"/>
        <v>0</v>
      </c>
      <c r="Q697" t="b">
        <f t="shared" si="75"/>
        <v>0</v>
      </c>
      <c r="R697">
        <f t="shared" si="76"/>
        <v>0</v>
      </c>
      <c r="S697" s="14">
        <f>_xlfn.XLOOKUP(B697,Summary!$C$10:$C$15,Summary!$B$10:$B$15)</f>
        <v>0.24</v>
      </c>
      <c r="T697">
        <f>IF(AND(H697="Yes",L697&lt;&gt;"Government"),G697*(_xlfn.XLOOKUP(B697,Summary!$C$10:$C$15,Summary!$B$10:$B$15)),0)</f>
        <v>0</v>
      </c>
    </row>
    <row r="698" spans="1:20" x14ac:dyDescent="0.25">
      <c r="A698">
        <v>96066</v>
      </c>
      <c r="B698" t="s">
        <v>43</v>
      </c>
      <c r="C698" t="s">
        <v>35</v>
      </c>
      <c r="D698" s="11">
        <v>602</v>
      </c>
      <c r="E698">
        <v>10.89</v>
      </c>
      <c r="F698">
        <v>17</v>
      </c>
      <c r="G698">
        <f t="shared" si="70"/>
        <v>10234</v>
      </c>
      <c r="H698" t="s">
        <v>72</v>
      </c>
      <c r="J698" s="9">
        <v>45666</v>
      </c>
      <c r="K698" t="s">
        <v>40</v>
      </c>
      <c r="L698" t="s">
        <v>24</v>
      </c>
      <c r="M698" t="str">
        <f t="shared" si="71"/>
        <v>Public Sector</v>
      </c>
      <c r="N698" t="str">
        <f t="shared" si="72"/>
        <v>Small Order</v>
      </c>
      <c r="O698">
        <f t="shared" si="73"/>
        <v>0</v>
      </c>
      <c r="P698">
        <f t="shared" si="74"/>
        <v>0</v>
      </c>
      <c r="Q698" t="b">
        <f t="shared" si="75"/>
        <v>0</v>
      </c>
      <c r="R698">
        <f t="shared" si="76"/>
        <v>0</v>
      </c>
      <c r="S698" s="14">
        <f>_xlfn.XLOOKUP(B698,Summary!$C$10:$C$15,Summary!$B$10:$B$15)</f>
        <v>0.21</v>
      </c>
      <c r="T698">
        <f>IF(AND(H698="Yes",L698&lt;&gt;"Government"),G698*(_xlfn.XLOOKUP(B698,Summary!$C$10:$C$15,Summary!$B$10:$B$15)),0)</f>
        <v>0</v>
      </c>
    </row>
    <row r="699" spans="1:20" x14ac:dyDescent="0.25">
      <c r="A699">
        <v>98163</v>
      </c>
      <c r="B699" t="s">
        <v>29</v>
      </c>
      <c r="C699" t="s">
        <v>38</v>
      </c>
      <c r="D699" s="11">
        <v>2475</v>
      </c>
      <c r="E699">
        <v>260.54000000000002</v>
      </c>
      <c r="F699">
        <v>357</v>
      </c>
      <c r="G699">
        <f t="shared" si="70"/>
        <v>883575</v>
      </c>
      <c r="H699" t="s">
        <v>72</v>
      </c>
      <c r="J699" s="9">
        <v>45187</v>
      </c>
      <c r="K699" t="s">
        <v>41</v>
      </c>
      <c r="L699" t="s">
        <v>34</v>
      </c>
      <c r="M699" t="str">
        <f t="shared" si="71"/>
        <v>Private Industry</v>
      </c>
      <c r="N699" t="str">
        <f t="shared" si="72"/>
        <v>Large Order</v>
      </c>
      <c r="O699">
        <f t="shared" si="73"/>
        <v>0</v>
      </c>
      <c r="P699">
        <f t="shared" si="74"/>
        <v>0</v>
      </c>
      <c r="Q699" t="b">
        <f t="shared" si="75"/>
        <v>0</v>
      </c>
      <c r="R699">
        <f t="shared" si="76"/>
        <v>0</v>
      </c>
      <c r="S699" s="14">
        <f>_xlfn.XLOOKUP(B699,Summary!$C$10:$C$15,Summary!$B$10:$B$15)</f>
        <v>0.22</v>
      </c>
      <c r="T699">
        <f>IF(AND(H699="Yes",L699&lt;&gt;"Government"),G699*(_xlfn.XLOOKUP(B699,Summary!$C$10:$C$15,Summary!$B$10:$B$15)),0)</f>
        <v>0</v>
      </c>
    </row>
    <row r="700" spans="1:20" x14ac:dyDescent="0.25">
      <c r="A700">
        <v>71852</v>
      </c>
      <c r="B700" t="s">
        <v>44</v>
      </c>
      <c r="C700" t="s">
        <v>35</v>
      </c>
      <c r="D700" s="11">
        <v>2852</v>
      </c>
      <c r="E700">
        <v>10.24</v>
      </c>
      <c r="F700">
        <v>13</v>
      </c>
      <c r="G700">
        <f t="shared" si="70"/>
        <v>37076</v>
      </c>
      <c r="H700" t="s">
        <v>71</v>
      </c>
      <c r="J700" s="9">
        <v>45356</v>
      </c>
      <c r="K700" t="s">
        <v>39</v>
      </c>
      <c r="L700" t="s">
        <v>24</v>
      </c>
      <c r="M700" t="str">
        <f t="shared" si="71"/>
        <v>Public Sector</v>
      </c>
      <c r="N700" t="str">
        <f t="shared" si="72"/>
        <v>Large Order</v>
      </c>
      <c r="O700">
        <f t="shared" si="73"/>
        <v>8527.48</v>
      </c>
      <c r="P700">
        <f t="shared" si="74"/>
        <v>0</v>
      </c>
      <c r="Q700" t="b">
        <f t="shared" si="75"/>
        <v>0</v>
      </c>
      <c r="R700">
        <f t="shared" si="76"/>
        <v>0</v>
      </c>
      <c r="S700" s="14">
        <f>_xlfn.XLOOKUP(B700,Summary!$C$10:$C$15,Summary!$B$10:$B$15)</f>
        <v>0.2</v>
      </c>
      <c r="T700">
        <f>IF(AND(H700="Yes",L700&lt;&gt;"Government"),G700*(_xlfn.XLOOKUP(B700,Summary!$C$10:$C$15,Summary!$B$10:$B$15)),0)</f>
        <v>0</v>
      </c>
    </row>
    <row r="701" spans="1:20" x14ac:dyDescent="0.25">
      <c r="A701">
        <v>48404</v>
      </c>
      <c r="B701" t="s">
        <v>27</v>
      </c>
      <c r="C701" t="s">
        <v>25</v>
      </c>
      <c r="D701" s="11">
        <v>1016</v>
      </c>
      <c r="E701">
        <v>3.5300000000000002</v>
      </c>
      <c r="F701">
        <v>5</v>
      </c>
      <c r="G701">
        <f t="shared" si="70"/>
        <v>5080</v>
      </c>
      <c r="H701" t="s">
        <v>71</v>
      </c>
      <c r="J701" s="9">
        <v>45547</v>
      </c>
      <c r="K701" t="s">
        <v>40</v>
      </c>
      <c r="L701" t="s">
        <v>24</v>
      </c>
      <c r="M701" t="str">
        <f t="shared" si="71"/>
        <v>Public Sector</v>
      </c>
      <c r="N701" t="str">
        <f t="shared" si="72"/>
        <v>Small Order</v>
      </c>
      <c r="O701">
        <f t="shared" si="73"/>
        <v>1168.4000000000001</v>
      </c>
      <c r="P701">
        <f t="shared" si="74"/>
        <v>0</v>
      </c>
      <c r="Q701" t="b">
        <f t="shared" si="75"/>
        <v>0</v>
      </c>
      <c r="R701">
        <f t="shared" si="76"/>
        <v>0</v>
      </c>
      <c r="S701" s="14">
        <f>_xlfn.XLOOKUP(B701,Summary!$C$10:$C$15,Summary!$B$10:$B$15)</f>
        <v>0.19</v>
      </c>
      <c r="T701">
        <f>IF(AND(H701="Yes",L701&lt;&gt;"Government"),G701*(_xlfn.XLOOKUP(B701,Summary!$C$10:$C$15,Summary!$B$10:$B$15)),0)</f>
        <v>0</v>
      </c>
    </row>
  </sheetData>
  <autoFilter ref="A1:U701" xr:uid="{5D0FD79C-7F6D-4A31-AFDA-0ED0E36E3D20}"/>
  <hyperlinks>
    <hyperlink ref="W20" location="Spills!B5" display="Spills!B5" xr:uid="{B04E0F3D-719D-4CBA-A3C3-0E710150F574}"/>
  </hyperlinks>
  <pageMargins left="0.70866141732283472" right="0.70866141732283472" top="0.74803149606299213" bottom="0.74803149606299213" header="0.31496062992125984" footer="0.31496062992125984"/>
  <pageSetup paperSize="9" fitToHeight="0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B358A-4493-4602-AF0F-8A604DEB9A09}">
  <sheetPr codeName="Sheet7"/>
  <dimension ref="D3:E5"/>
  <sheetViews>
    <sheetView workbookViewId="0">
      <selection activeCell="D4" sqref="D4"/>
    </sheetView>
  </sheetViews>
  <sheetFormatPr defaultRowHeight="15" x14ac:dyDescent="0.25"/>
  <cols>
    <col min="4" max="4" width="11.28515625" customWidth="1"/>
    <col min="5" max="5" width="11.85546875" customWidth="1"/>
  </cols>
  <sheetData>
    <row r="3" spans="4:5" ht="15.75" x14ac:dyDescent="0.25">
      <c r="D3" s="2" t="s">
        <v>45</v>
      </c>
      <c r="E3" s="3" t="s">
        <v>46</v>
      </c>
    </row>
    <row r="4" spans="4:5" x14ac:dyDescent="0.25">
      <c r="D4" s="8">
        <v>0.79</v>
      </c>
      <c r="E4" s="1">
        <f>1-D4</f>
        <v>0.20999999999999996</v>
      </c>
    </row>
    <row r="5" spans="4:5" x14ac:dyDescent="0.25">
      <c r="D5" s="4">
        <v>1</v>
      </c>
      <c r="E5" s="4">
        <v>1</v>
      </c>
    </row>
  </sheetData>
  <sheetProtection algorithmName="SHA-512" hashValue="PdzzCgwN4SKr7GfUUmOJhgaLZ0TP61oSC0jLdQFDJNLwpzjD5OapCdVW6vuQddphfihw11+MMjYS0ExL9dZzgg==" saltValue="7T+unKVb1P+yWyftSuM6NA==" spinCount="100000" sheet="1" objects="1" scenarios="1" selectLockedCells="1"/>
  <dataValidations count="1">
    <dataValidation type="decimal" allowBlank="1" showInputMessage="1" showErrorMessage="1" sqref="D4" xr:uid="{82E68E1E-EC07-431A-A749-66043E6F4462}">
      <formula1>0</formula1>
      <formula2>1</formula2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4D9E2-F050-4763-880C-3BF38751FE45}">
  <dimension ref="A1:AD704"/>
  <sheetViews>
    <sheetView workbookViewId="0">
      <selection activeCell="K19" sqref="K19"/>
    </sheetView>
  </sheetViews>
  <sheetFormatPr defaultRowHeight="15" x14ac:dyDescent="0.25"/>
  <sheetData>
    <row r="1" spans="1:30" x14ac:dyDescent="0.25">
      <c r="M1" t="s">
        <v>32</v>
      </c>
      <c r="Y1" t="s">
        <v>30</v>
      </c>
    </row>
    <row r="4" spans="1:30" x14ac:dyDescent="0.25">
      <c r="C4" t="s">
        <v>354</v>
      </c>
      <c r="M4" t="s">
        <v>355</v>
      </c>
      <c r="W4" t="s">
        <v>358</v>
      </c>
    </row>
    <row r="5" spans="1:30" x14ac:dyDescent="0.25">
      <c r="C5" cm="1">
        <f t="array" ref="C5:J704">_xlfn._xlws.SORT(Sales!A2:H701,3)</f>
        <v>64820</v>
      </c>
      <c r="D5" t="str">
        <v>Italy</v>
      </c>
      <c r="E5" t="str">
        <v>Amarilla</v>
      </c>
      <c r="F5">
        <v>579</v>
      </c>
      <c r="G5">
        <v>260.55</v>
      </c>
      <c r="H5">
        <v>305</v>
      </c>
      <c r="I5">
        <v>176595</v>
      </c>
      <c r="J5" t="str">
        <v>No</v>
      </c>
      <c r="M5" cm="1">
        <f t="array" ref="M5:T116">_xlfn._xlws.FILTER(Sales!A2:H701,Sales!B2:B701=M1)</f>
        <v>64975</v>
      </c>
      <c r="N5" t="str">
        <v>Ireland</v>
      </c>
      <c r="O5" t="str">
        <v>Velo</v>
      </c>
      <c r="P5">
        <v>1500</v>
      </c>
      <c r="Q5">
        <v>120.36</v>
      </c>
      <c r="R5">
        <v>121</v>
      </c>
      <c r="S5">
        <v>181500</v>
      </c>
      <c r="T5" t="str">
        <v>Yes</v>
      </c>
      <c r="W5" cm="1">
        <f t="array" ref="W5:AD21">_xlfn._xlws.FILTER(Sales!A2:H701,(Sales!B2:B701=M1)*(Sales!C2:C701=Spills!Y1))</f>
        <v>75204</v>
      </c>
      <c r="X5" t="str">
        <v>Ireland</v>
      </c>
      <c r="Y5" t="str">
        <v>Montana</v>
      </c>
      <c r="Z5">
        <v>1899</v>
      </c>
      <c r="AA5">
        <v>5.65</v>
      </c>
      <c r="AB5">
        <v>7</v>
      </c>
      <c r="AC5">
        <v>13293</v>
      </c>
      <c r="AD5" t="str">
        <v>No</v>
      </c>
    </row>
    <row r="6" spans="1:30" x14ac:dyDescent="0.25">
      <c r="C6">
        <v>62831</v>
      </c>
      <c r="D6" t="str">
        <v>France</v>
      </c>
      <c r="E6" t="str">
        <v>Amarilla</v>
      </c>
      <c r="F6">
        <v>1190</v>
      </c>
      <c r="G6">
        <v>260.24</v>
      </c>
      <c r="H6">
        <v>334</v>
      </c>
      <c r="I6">
        <v>397460</v>
      </c>
      <c r="J6" t="str">
        <v>Yes</v>
      </c>
      <c r="M6">
        <v>55445</v>
      </c>
      <c r="N6" t="str">
        <v>Ireland</v>
      </c>
      <c r="O6" t="str">
        <v>Amarilla</v>
      </c>
      <c r="P6">
        <v>2750</v>
      </c>
      <c r="Q6">
        <v>260.17</v>
      </c>
      <c r="R6">
        <v>261</v>
      </c>
      <c r="S6">
        <v>717750</v>
      </c>
      <c r="T6" t="str">
        <v>No</v>
      </c>
      <c r="W6">
        <v>48238</v>
      </c>
      <c r="X6" t="str">
        <v>Ireland</v>
      </c>
      <c r="Y6" t="str">
        <v>Montana</v>
      </c>
      <c r="Z6">
        <v>3627</v>
      </c>
      <c r="AA6">
        <v>5.0599999999999996</v>
      </c>
      <c r="AB6">
        <v>6</v>
      </c>
      <c r="AC6">
        <v>21762</v>
      </c>
      <c r="AD6" t="str">
        <v>Yes</v>
      </c>
    </row>
    <row r="7" spans="1:30" x14ac:dyDescent="0.25">
      <c r="C7">
        <v>44066</v>
      </c>
      <c r="D7" t="str">
        <v>Germany</v>
      </c>
      <c r="E7" t="str">
        <v>Amarilla</v>
      </c>
      <c r="F7">
        <v>2574</v>
      </c>
      <c r="G7">
        <v>260.58999999999997</v>
      </c>
      <c r="H7">
        <v>378</v>
      </c>
      <c r="I7">
        <v>972972</v>
      </c>
      <c r="J7" t="str">
        <v>Yes</v>
      </c>
      <c r="M7">
        <v>28574</v>
      </c>
      <c r="N7" t="str">
        <v>Ireland</v>
      </c>
      <c r="O7" t="str">
        <v>Carretera</v>
      </c>
      <c r="P7">
        <v>2521</v>
      </c>
      <c r="Q7">
        <v>3.79</v>
      </c>
      <c r="R7">
        <v>6</v>
      </c>
      <c r="S7">
        <v>15126</v>
      </c>
      <c r="T7" t="str">
        <v>Yes</v>
      </c>
      <c r="W7">
        <v>76234</v>
      </c>
      <c r="X7" t="str">
        <v>Ireland</v>
      </c>
      <c r="Y7" t="str">
        <v>Montana</v>
      </c>
      <c r="Z7">
        <v>711</v>
      </c>
      <c r="AA7">
        <v>5.57</v>
      </c>
      <c r="AB7">
        <v>9</v>
      </c>
      <c r="AC7">
        <v>6399</v>
      </c>
      <c r="AD7" t="str">
        <v>No</v>
      </c>
    </row>
    <row r="8" spans="1:30" x14ac:dyDescent="0.25">
      <c r="C8">
        <v>48433</v>
      </c>
      <c r="D8" t="str">
        <v>France</v>
      </c>
      <c r="E8" t="str">
        <v>Amarilla</v>
      </c>
      <c r="F8">
        <v>2076</v>
      </c>
      <c r="G8">
        <v>260.93</v>
      </c>
      <c r="H8">
        <v>321</v>
      </c>
      <c r="I8">
        <v>666396</v>
      </c>
      <c r="J8" t="str">
        <v>No</v>
      </c>
      <c r="M8">
        <v>31826</v>
      </c>
      <c r="N8" t="str">
        <v>Ireland</v>
      </c>
      <c r="O8" t="str">
        <v>VTT</v>
      </c>
      <c r="P8">
        <v>986</v>
      </c>
      <c r="Q8">
        <v>250.3</v>
      </c>
      <c r="R8">
        <v>353</v>
      </c>
      <c r="S8">
        <v>348058</v>
      </c>
      <c r="T8" t="str">
        <v>Yes</v>
      </c>
      <c r="W8">
        <v>10824</v>
      </c>
      <c r="X8" t="str">
        <v>Ireland</v>
      </c>
      <c r="Y8" t="str">
        <v>Montana</v>
      </c>
      <c r="Z8">
        <v>1138</v>
      </c>
      <c r="AA8">
        <v>5.1100000000000003</v>
      </c>
      <c r="AB8">
        <v>7</v>
      </c>
      <c r="AC8">
        <v>7966</v>
      </c>
      <c r="AD8" t="str">
        <v>No</v>
      </c>
    </row>
    <row r="9" spans="1:30" x14ac:dyDescent="0.25">
      <c r="A9" t="str" cm="1">
        <f t="array" ref="A9:A16">_xlfn.UNIQUE(Sales!B2:B701)</f>
        <v>Italy</v>
      </c>
      <c r="C9">
        <v>55445</v>
      </c>
      <c r="D9" t="str">
        <v>Ireland</v>
      </c>
      <c r="E9" t="str">
        <v>Amarilla</v>
      </c>
      <c r="F9">
        <v>2750</v>
      </c>
      <c r="G9">
        <v>260.17</v>
      </c>
      <c r="H9">
        <v>261</v>
      </c>
      <c r="I9">
        <v>717750</v>
      </c>
      <c r="J9" t="str">
        <v>No</v>
      </c>
      <c r="M9">
        <v>75204</v>
      </c>
      <c r="N9" t="str">
        <v>Ireland</v>
      </c>
      <c r="O9" t="str">
        <v>Montana</v>
      </c>
      <c r="P9">
        <v>1899</v>
      </c>
      <c r="Q9">
        <v>5.65</v>
      </c>
      <c r="R9">
        <v>7</v>
      </c>
      <c r="S9">
        <v>13293</v>
      </c>
      <c r="T9" t="str">
        <v>No</v>
      </c>
      <c r="W9">
        <v>98748</v>
      </c>
      <c r="X9" t="str">
        <v>Ireland</v>
      </c>
      <c r="Y9" t="str">
        <v>Montana</v>
      </c>
      <c r="Z9">
        <v>2313</v>
      </c>
      <c r="AA9">
        <v>5.09</v>
      </c>
      <c r="AB9">
        <v>8</v>
      </c>
      <c r="AC9">
        <v>18504</v>
      </c>
      <c r="AD9" t="str">
        <v>Yes</v>
      </c>
    </row>
    <row r="10" spans="1:30" x14ac:dyDescent="0.25">
      <c r="A10" t="str">
        <v>Ireland</v>
      </c>
      <c r="C10">
        <v>87537</v>
      </c>
      <c r="D10" t="str">
        <v>Netherlands</v>
      </c>
      <c r="E10" t="str">
        <v>Amarilla</v>
      </c>
      <c r="F10">
        <v>1778</v>
      </c>
      <c r="G10">
        <v>260.02999999999997</v>
      </c>
      <c r="H10">
        <v>344</v>
      </c>
      <c r="I10">
        <v>611632</v>
      </c>
      <c r="J10" t="str">
        <v>Yes</v>
      </c>
      <c r="M10">
        <v>78506</v>
      </c>
      <c r="N10" t="str">
        <v>Ireland</v>
      </c>
      <c r="O10" t="str">
        <v>Paseo</v>
      </c>
      <c r="P10">
        <v>1142</v>
      </c>
      <c r="Q10">
        <v>10.46</v>
      </c>
      <c r="R10">
        <v>14</v>
      </c>
      <c r="S10">
        <v>15988</v>
      </c>
      <c r="T10" t="str">
        <v>Yes</v>
      </c>
      <c r="W10">
        <v>25692</v>
      </c>
      <c r="X10" t="str">
        <v>Ireland</v>
      </c>
      <c r="Y10" t="str">
        <v>Montana</v>
      </c>
      <c r="Z10">
        <v>1298</v>
      </c>
      <c r="AA10">
        <v>5.54</v>
      </c>
      <c r="AB10">
        <v>8</v>
      </c>
      <c r="AC10">
        <v>10384</v>
      </c>
      <c r="AD10" t="str">
        <v>No</v>
      </c>
    </row>
    <row r="11" spans="1:30" x14ac:dyDescent="0.25">
      <c r="A11" t="str">
        <v>France</v>
      </c>
      <c r="C11">
        <v>40201</v>
      </c>
      <c r="D11" t="str">
        <v>Germany</v>
      </c>
      <c r="E11" t="str">
        <v>Amarilla</v>
      </c>
      <c r="F11">
        <v>1907</v>
      </c>
      <c r="G11">
        <v>260.77</v>
      </c>
      <c r="H11">
        <v>363</v>
      </c>
      <c r="I11">
        <v>692241</v>
      </c>
      <c r="J11" t="str">
        <v>Yes</v>
      </c>
      <c r="M11">
        <v>45716</v>
      </c>
      <c r="N11" t="str">
        <v>Ireland</v>
      </c>
      <c r="O11" t="str">
        <v>Amarilla</v>
      </c>
      <c r="P11">
        <v>1731</v>
      </c>
      <c r="Q11">
        <v>260.26</v>
      </c>
      <c r="R11">
        <v>352</v>
      </c>
      <c r="S11">
        <v>609312</v>
      </c>
      <c r="T11" t="str">
        <v>No</v>
      </c>
      <c r="W11">
        <v>49680</v>
      </c>
      <c r="X11" t="str">
        <v>Ireland</v>
      </c>
      <c r="Y11" t="str">
        <v>Montana</v>
      </c>
      <c r="Z11">
        <v>663</v>
      </c>
      <c r="AA11">
        <v>5.71</v>
      </c>
      <c r="AB11">
        <v>8</v>
      </c>
      <c r="AC11">
        <v>5304</v>
      </c>
      <c r="AD11" t="str">
        <v>No</v>
      </c>
    </row>
    <row r="12" spans="1:30" x14ac:dyDescent="0.25">
      <c r="A12" t="str">
        <v>Belgium</v>
      </c>
      <c r="C12">
        <v>17930</v>
      </c>
      <c r="D12" t="str">
        <v>Germany</v>
      </c>
      <c r="E12" t="str">
        <v>Amarilla</v>
      </c>
      <c r="F12">
        <v>1159</v>
      </c>
      <c r="G12">
        <v>260.27</v>
      </c>
      <c r="H12">
        <v>336</v>
      </c>
      <c r="I12">
        <v>389424</v>
      </c>
      <c r="J12" t="str">
        <v>No</v>
      </c>
      <c r="M12">
        <v>22948</v>
      </c>
      <c r="N12" t="str">
        <v>Ireland</v>
      </c>
      <c r="O12" t="str">
        <v>Paseo</v>
      </c>
      <c r="P12">
        <v>991</v>
      </c>
      <c r="Q12">
        <v>10.199999999999999</v>
      </c>
      <c r="R12">
        <v>14</v>
      </c>
      <c r="S12">
        <v>13874</v>
      </c>
      <c r="T12" t="str">
        <v>Yes</v>
      </c>
      <c r="W12">
        <v>85862</v>
      </c>
      <c r="X12" t="str">
        <v>Ireland</v>
      </c>
      <c r="Y12" t="str">
        <v>Montana</v>
      </c>
      <c r="Z12">
        <v>1857</v>
      </c>
      <c r="AA12">
        <v>5.47</v>
      </c>
      <c r="AB12">
        <v>8</v>
      </c>
      <c r="AC12">
        <v>14856</v>
      </c>
      <c r="AD12" t="str">
        <v>No</v>
      </c>
    </row>
    <row r="13" spans="1:30" x14ac:dyDescent="0.25">
      <c r="A13" t="str">
        <v>Germany</v>
      </c>
      <c r="C13">
        <v>67944</v>
      </c>
      <c r="D13" t="str">
        <v>Spain</v>
      </c>
      <c r="E13" t="str">
        <v>Amarilla</v>
      </c>
      <c r="F13">
        <v>1123</v>
      </c>
      <c r="G13">
        <v>260.38</v>
      </c>
      <c r="H13">
        <v>318</v>
      </c>
      <c r="I13">
        <v>357114</v>
      </c>
      <c r="J13" t="str">
        <v>Yes</v>
      </c>
      <c r="M13">
        <v>48238</v>
      </c>
      <c r="N13" t="str">
        <v>Ireland</v>
      </c>
      <c r="O13" t="str">
        <v>Montana</v>
      </c>
      <c r="P13">
        <v>3627</v>
      </c>
      <c r="Q13">
        <v>5.0599999999999996</v>
      </c>
      <c r="R13">
        <v>6</v>
      </c>
      <c r="S13">
        <v>21762</v>
      </c>
      <c r="T13" t="str">
        <v>Yes</v>
      </c>
      <c r="W13">
        <v>89136</v>
      </c>
      <c r="X13" t="str">
        <v>Ireland</v>
      </c>
      <c r="Y13" t="str">
        <v>Montana</v>
      </c>
      <c r="Z13">
        <v>2734</v>
      </c>
      <c r="AA13">
        <v>5.0599999999999996</v>
      </c>
      <c r="AB13">
        <v>6</v>
      </c>
      <c r="AC13">
        <v>16404</v>
      </c>
      <c r="AD13" t="str">
        <v>No</v>
      </c>
    </row>
    <row r="14" spans="1:30" x14ac:dyDescent="0.25">
      <c r="A14" t="str">
        <v>Netherlands</v>
      </c>
      <c r="C14">
        <v>24747</v>
      </c>
      <c r="D14" t="str">
        <v>Spain</v>
      </c>
      <c r="E14" t="str">
        <v>Amarilla</v>
      </c>
      <c r="F14">
        <v>1865</v>
      </c>
      <c r="G14">
        <v>260.47000000000003</v>
      </c>
      <c r="H14">
        <v>264</v>
      </c>
      <c r="I14">
        <v>492360</v>
      </c>
      <c r="J14" t="str">
        <v>Yes</v>
      </c>
      <c r="M14">
        <v>90100</v>
      </c>
      <c r="N14" t="str">
        <v>Ireland</v>
      </c>
      <c r="O14" t="str">
        <v>Amarilla</v>
      </c>
      <c r="P14">
        <v>270</v>
      </c>
      <c r="Q14">
        <v>260.60000000000002</v>
      </c>
      <c r="R14">
        <v>266</v>
      </c>
      <c r="S14">
        <v>71820</v>
      </c>
      <c r="T14" t="str">
        <v>No</v>
      </c>
      <c r="W14">
        <v>30484</v>
      </c>
      <c r="X14" t="str">
        <v>Ireland</v>
      </c>
      <c r="Y14" t="str">
        <v>Montana</v>
      </c>
      <c r="Z14">
        <v>1282</v>
      </c>
      <c r="AA14">
        <v>5.45</v>
      </c>
      <c r="AB14">
        <v>8</v>
      </c>
      <c r="AC14">
        <v>10256</v>
      </c>
      <c r="AD14" t="str">
        <v>No</v>
      </c>
    </row>
    <row r="15" spans="1:30" x14ac:dyDescent="0.25">
      <c r="A15" t="str">
        <v>Vatican</v>
      </c>
      <c r="C15">
        <v>45716</v>
      </c>
      <c r="D15" t="str">
        <v>Ireland</v>
      </c>
      <c r="E15" t="str">
        <v>Amarilla</v>
      </c>
      <c r="F15">
        <v>1731</v>
      </c>
      <c r="G15">
        <v>260.26</v>
      </c>
      <c r="H15">
        <v>352</v>
      </c>
      <c r="I15">
        <v>609312</v>
      </c>
      <c r="J15" t="str">
        <v>No</v>
      </c>
      <c r="M15">
        <v>93247</v>
      </c>
      <c r="N15" t="str">
        <v>Ireland</v>
      </c>
      <c r="O15" t="str">
        <v>Velo</v>
      </c>
      <c r="P15">
        <v>2294</v>
      </c>
      <c r="Q15">
        <v>121</v>
      </c>
      <c r="R15">
        <v>130</v>
      </c>
      <c r="S15">
        <v>298220</v>
      </c>
      <c r="T15" t="str">
        <v>Yes</v>
      </c>
      <c r="W15">
        <v>43511</v>
      </c>
      <c r="X15" t="str">
        <v>Ireland</v>
      </c>
      <c r="Y15" t="str">
        <v>Montana</v>
      </c>
      <c r="Z15">
        <v>1375</v>
      </c>
      <c r="AA15">
        <v>5.07</v>
      </c>
      <c r="AB15">
        <v>6</v>
      </c>
      <c r="AC15">
        <v>8250</v>
      </c>
      <c r="AD15" t="str">
        <v>Yes</v>
      </c>
    </row>
    <row r="16" spans="1:30" x14ac:dyDescent="0.25">
      <c r="A16" t="str">
        <v>Spain</v>
      </c>
      <c r="C16">
        <v>90100</v>
      </c>
      <c r="D16" t="str">
        <v>Ireland</v>
      </c>
      <c r="E16" t="str">
        <v>Amarilla</v>
      </c>
      <c r="F16">
        <v>270</v>
      </c>
      <c r="G16">
        <v>260.60000000000002</v>
      </c>
      <c r="H16">
        <v>266</v>
      </c>
      <c r="I16">
        <v>71820</v>
      </c>
      <c r="J16" t="str">
        <v>No</v>
      </c>
      <c r="M16">
        <v>66224</v>
      </c>
      <c r="N16" t="str">
        <v>Ireland</v>
      </c>
      <c r="O16" t="str">
        <v>Velo</v>
      </c>
      <c r="P16">
        <v>1566</v>
      </c>
      <c r="Q16">
        <v>120.03</v>
      </c>
      <c r="R16">
        <v>169</v>
      </c>
      <c r="S16">
        <v>264654</v>
      </c>
      <c r="T16" t="str">
        <v>No</v>
      </c>
      <c r="W16">
        <v>76952</v>
      </c>
      <c r="X16" t="str">
        <v>Ireland</v>
      </c>
      <c r="Y16" t="str">
        <v>Montana</v>
      </c>
      <c r="Z16">
        <v>980</v>
      </c>
      <c r="AA16">
        <v>5.72</v>
      </c>
      <c r="AB16">
        <v>7</v>
      </c>
      <c r="AC16">
        <v>6860</v>
      </c>
      <c r="AD16" t="str">
        <v>No</v>
      </c>
    </row>
    <row r="17" spans="1:30" x14ac:dyDescent="0.25">
      <c r="C17">
        <v>91260</v>
      </c>
      <c r="D17" t="str">
        <v>Germany</v>
      </c>
      <c r="E17" t="str">
        <v>Amarilla</v>
      </c>
      <c r="F17">
        <v>711</v>
      </c>
      <c r="G17">
        <v>260.97000000000003</v>
      </c>
      <c r="H17">
        <v>272</v>
      </c>
      <c r="I17">
        <v>193392</v>
      </c>
      <c r="J17" t="str">
        <v>Yes</v>
      </c>
      <c r="M17">
        <v>26521</v>
      </c>
      <c r="N17" t="str">
        <v>Ireland</v>
      </c>
      <c r="O17" t="str">
        <v>Carretera</v>
      </c>
      <c r="P17">
        <v>991</v>
      </c>
      <c r="Q17">
        <v>3.46</v>
      </c>
      <c r="R17">
        <v>4</v>
      </c>
      <c r="S17">
        <v>3964</v>
      </c>
      <c r="T17" t="str">
        <v>No</v>
      </c>
      <c r="W17">
        <v>89732</v>
      </c>
      <c r="X17" t="str">
        <v>Ireland</v>
      </c>
      <c r="Y17" t="str">
        <v>Montana</v>
      </c>
      <c r="Z17">
        <v>2342</v>
      </c>
      <c r="AA17">
        <v>5.53</v>
      </c>
      <c r="AB17">
        <v>6</v>
      </c>
      <c r="AC17">
        <v>14052</v>
      </c>
      <c r="AD17" t="str">
        <v>No</v>
      </c>
    </row>
    <row r="18" spans="1:30" x14ac:dyDescent="0.25">
      <c r="C18">
        <v>73311</v>
      </c>
      <c r="D18" t="str">
        <v>Netherlands</v>
      </c>
      <c r="E18" t="str">
        <v>Amarilla</v>
      </c>
      <c r="F18">
        <v>1393</v>
      </c>
      <c r="G18">
        <v>260.33</v>
      </c>
      <c r="H18">
        <v>282</v>
      </c>
      <c r="I18">
        <v>392826</v>
      </c>
      <c r="J18" t="str">
        <v>No</v>
      </c>
      <c r="M18">
        <v>33237</v>
      </c>
      <c r="N18" t="str">
        <v>Ireland</v>
      </c>
      <c r="O18" t="str">
        <v>Paseo</v>
      </c>
      <c r="P18">
        <v>2620</v>
      </c>
      <c r="Q18">
        <v>10.75</v>
      </c>
      <c r="R18">
        <v>16</v>
      </c>
      <c r="S18">
        <v>41920</v>
      </c>
      <c r="T18" t="str">
        <v>No</v>
      </c>
      <c r="W18">
        <v>12028</v>
      </c>
      <c r="X18" t="str">
        <v>Ireland</v>
      </c>
      <c r="Y18" t="str">
        <v>Montana</v>
      </c>
      <c r="Z18">
        <v>1100</v>
      </c>
      <c r="AA18">
        <v>5.51</v>
      </c>
      <c r="AB18">
        <v>8</v>
      </c>
      <c r="AC18">
        <v>8800</v>
      </c>
      <c r="AD18" t="str">
        <v>Yes</v>
      </c>
    </row>
    <row r="19" spans="1:30" x14ac:dyDescent="0.25">
      <c r="C19">
        <v>56832</v>
      </c>
      <c r="D19" t="str">
        <v>Spain</v>
      </c>
      <c r="E19" t="str">
        <v>Amarilla</v>
      </c>
      <c r="F19">
        <v>947</v>
      </c>
      <c r="G19">
        <v>260.24</v>
      </c>
      <c r="H19">
        <v>349</v>
      </c>
      <c r="I19">
        <v>330503</v>
      </c>
      <c r="J19" t="str">
        <v>No</v>
      </c>
      <c r="M19">
        <v>59074</v>
      </c>
      <c r="N19" t="str">
        <v>Ireland</v>
      </c>
      <c r="O19" t="str">
        <v>Velo</v>
      </c>
      <c r="P19">
        <v>635</v>
      </c>
      <c r="Q19">
        <v>120.02</v>
      </c>
      <c r="R19">
        <v>175</v>
      </c>
      <c r="S19">
        <v>111125</v>
      </c>
      <c r="T19" t="str">
        <v>No</v>
      </c>
      <c r="W19">
        <v>26096</v>
      </c>
      <c r="X19" t="str">
        <v>Ireland</v>
      </c>
      <c r="Y19" t="str">
        <v>Montana</v>
      </c>
      <c r="Z19">
        <v>2321</v>
      </c>
      <c r="AA19">
        <v>5.35</v>
      </c>
      <c r="AB19">
        <v>7</v>
      </c>
      <c r="AC19">
        <v>16247</v>
      </c>
      <c r="AD19" t="str">
        <v>Yes</v>
      </c>
    </row>
    <row r="20" spans="1:30" x14ac:dyDescent="0.25">
      <c r="C20">
        <v>21257</v>
      </c>
      <c r="D20" t="str">
        <v>Netherlands</v>
      </c>
      <c r="E20" t="str">
        <v>Amarilla</v>
      </c>
      <c r="F20">
        <v>2734</v>
      </c>
      <c r="G20">
        <v>260.61</v>
      </c>
      <c r="H20">
        <v>279</v>
      </c>
      <c r="I20">
        <v>762786</v>
      </c>
      <c r="J20" t="str">
        <v>No</v>
      </c>
      <c r="M20">
        <v>45751</v>
      </c>
      <c r="N20" t="str">
        <v>Ireland</v>
      </c>
      <c r="O20" t="str">
        <v>Paseo</v>
      </c>
      <c r="P20">
        <v>367</v>
      </c>
      <c r="Q20">
        <v>10.050000000000001</v>
      </c>
      <c r="R20">
        <v>13</v>
      </c>
      <c r="S20">
        <v>4771</v>
      </c>
      <c r="T20" t="str">
        <v>No</v>
      </c>
      <c r="W20">
        <v>68930</v>
      </c>
      <c r="X20" t="str">
        <v>Ireland</v>
      </c>
      <c r="Y20" t="str">
        <v>Montana</v>
      </c>
      <c r="Z20">
        <v>2072</v>
      </c>
      <c r="AA20">
        <v>5.9</v>
      </c>
      <c r="AB20">
        <v>9</v>
      </c>
      <c r="AC20">
        <v>18648</v>
      </c>
      <c r="AD20" t="str">
        <v>No</v>
      </c>
    </row>
    <row r="21" spans="1:30" x14ac:dyDescent="0.25">
      <c r="C21">
        <v>57635</v>
      </c>
      <c r="D21" t="str">
        <v>Spain</v>
      </c>
      <c r="E21" t="str">
        <v>Amarilla</v>
      </c>
      <c r="F21">
        <v>2460</v>
      </c>
      <c r="G21">
        <v>260.39999999999998</v>
      </c>
      <c r="H21">
        <v>323</v>
      </c>
      <c r="I21">
        <v>794580</v>
      </c>
      <c r="J21" t="str">
        <v>Yes</v>
      </c>
      <c r="M21">
        <v>98981</v>
      </c>
      <c r="N21" t="str">
        <v>Ireland</v>
      </c>
      <c r="O21" t="str">
        <v>Carretera</v>
      </c>
      <c r="P21">
        <v>1198</v>
      </c>
      <c r="Q21">
        <v>3.16</v>
      </c>
      <c r="R21">
        <v>5</v>
      </c>
      <c r="S21">
        <v>5990</v>
      </c>
      <c r="T21" t="str">
        <v>Yes</v>
      </c>
      <c r="W21">
        <v>97483</v>
      </c>
      <c r="X21" t="str">
        <v>Ireland</v>
      </c>
      <c r="Y21" t="str">
        <v>Montana</v>
      </c>
      <c r="Z21">
        <v>1460</v>
      </c>
      <c r="AA21">
        <v>5.38</v>
      </c>
      <c r="AB21">
        <v>8</v>
      </c>
      <c r="AC21">
        <v>11680</v>
      </c>
      <c r="AD21" t="str">
        <v>Yes</v>
      </c>
    </row>
    <row r="22" spans="1:30" x14ac:dyDescent="0.25">
      <c r="C22">
        <v>29645</v>
      </c>
      <c r="D22" t="str">
        <v>Spain</v>
      </c>
      <c r="E22" t="str">
        <v>Amarilla</v>
      </c>
      <c r="F22">
        <v>1074</v>
      </c>
      <c r="G22">
        <v>260.10000000000002</v>
      </c>
      <c r="H22">
        <v>271</v>
      </c>
      <c r="I22">
        <v>291054</v>
      </c>
      <c r="J22" t="str">
        <v>No</v>
      </c>
      <c r="M22">
        <v>48811</v>
      </c>
      <c r="N22" t="str">
        <v>Ireland</v>
      </c>
      <c r="O22" t="str">
        <v>Paseo</v>
      </c>
      <c r="P22">
        <v>2296</v>
      </c>
      <c r="Q22">
        <v>10.86</v>
      </c>
      <c r="R22">
        <v>13</v>
      </c>
      <c r="S22">
        <v>29848</v>
      </c>
      <c r="T22" t="str">
        <v>No</v>
      </c>
    </row>
    <row r="23" spans="1:30" x14ac:dyDescent="0.25">
      <c r="C23">
        <v>39245</v>
      </c>
      <c r="D23" t="str">
        <v>Italy</v>
      </c>
      <c r="E23" t="str">
        <v>Amarilla</v>
      </c>
      <c r="F23">
        <v>1953</v>
      </c>
      <c r="G23">
        <v>260.63</v>
      </c>
      <c r="H23">
        <v>360</v>
      </c>
      <c r="I23">
        <v>703080</v>
      </c>
      <c r="J23" t="str">
        <v>No</v>
      </c>
      <c r="M23">
        <v>36787</v>
      </c>
      <c r="N23" t="str">
        <v>Ireland</v>
      </c>
      <c r="O23" t="str">
        <v>Paseo</v>
      </c>
      <c r="P23">
        <v>2156</v>
      </c>
      <c r="Q23">
        <v>10.54</v>
      </c>
      <c r="R23">
        <v>12</v>
      </c>
      <c r="S23">
        <v>25872</v>
      </c>
      <c r="T23" t="str">
        <v>Yes</v>
      </c>
    </row>
    <row r="24" spans="1:30" x14ac:dyDescent="0.25">
      <c r="C24">
        <v>35553</v>
      </c>
      <c r="D24" t="str">
        <v>Spain</v>
      </c>
      <c r="E24" t="str">
        <v>Amarilla</v>
      </c>
      <c r="F24">
        <v>410</v>
      </c>
      <c r="G24">
        <v>260.99</v>
      </c>
      <c r="H24">
        <v>282</v>
      </c>
      <c r="I24">
        <v>115620</v>
      </c>
      <c r="J24" t="str">
        <v>Yes</v>
      </c>
      <c r="M24">
        <v>72425</v>
      </c>
      <c r="N24" t="str">
        <v>Ireland</v>
      </c>
      <c r="O24" t="str">
        <v>Amarilla</v>
      </c>
      <c r="P24">
        <v>1269</v>
      </c>
      <c r="Q24">
        <v>260.31</v>
      </c>
      <c r="R24">
        <v>331</v>
      </c>
      <c r="S24">
        <v>420039</v>
      </c>
      <c r="T24" t="str">
        <v>Yes</v>
      </c>
    </row>
    <row r="25" spans="1:30" x14ac:dyDescent="0.25">
      <c r="A25" t="str" cm="1">
        <f t="array" ref="A25:A30">_xlfn.UNIQUE(Sales!C2:C701)</f>
        <v>Paseo</v>
      </c>
      <c r="C25">
        <v>43178</v>
      </c>
      <c r="D25" t="str">
        <v>Spain</v>
      </c>
      <c r="E25" t="str">
        <v>Amarilla</v>
      </c>
      <c r="F25">
        <v>2157</v>
      </c>
      <c r="G25">
        <v>260.45999999999998</v>
      </c>
      <c r="H25">
        <v>347</v>
      </c>
      <c r="I25">
        <v>748479</v>
      </c>
      <c r="J25" t="str">
        <v>No</v>
      </c>
      <c r="M25">
        <v>93465</v>
      </c>
      <c r="N25" t="str">
        <v>Ireland</v>
      </c>
      <c r="O25" t="str">
        <v>Paseo</v>
      </c>
      <c r="P25">
        <v>914</v>
      </c>
      <c r="Q25">
        <v>10.31</v>
      </c>
      <c r="R25">
        <v>12</v>
      </c>
      <c r="S25">
        <v>10968</v>
      </c>
      <c r="T25" t="str">
        <v>No</v>
      </c>
    </row>
    <row r="26" spans="1:30" x14ac:dyDescent="0.25">
      <c r="A26" t="str">
        <v>Amarilla</v>
      </c>
      <c r="C26">
        <v>94292</v>
      </c>
      <c r="D26" t="str">
        <v>Spain</v>
      </c>
      <c r="E26" t="str">
        <v>Amarilla</v>
      </c>
      <c r="F26">
        <v>635</v>
      </c>
      <c r="G26">
        <v>260.39</v>
      </c>
      <c r="H26">
        <v>321</v>
      </c>
      <c r="I26">
        <v>203835</v>
      </c>
      <c r="J26" t="str">
        <v>No</v>
      </c>
      <c r="M26">
        <v>13662</v>
      </c>
      <c r="N26" t="str">
        <v>Ireland</v>
      </c>
      <c r="O26" t="str">
        <v>Paseo</v>
      </c>
      <c r="P26">
        <v>1414</v>
      </c>
      <c r="Q26">
        <v>10.49</v>
      </c>
      <c r="R26">
        <v>13</v>
      </c>
      <c r="S26">
        <v>18382</v>
      </c>
      <c r="T26" t="str">
        <v>Yes</v>
      </c>
    </row>
    <row r="27" spans="1:30" x14ac:dyDescent="0.25">
      <c r="A27" t="str">
        <v>Velo</v>
      </c>
      <c r="C27">
        <v>99223</v>
      </c>
      <c r="D27" t="str">
        <v>Germany</v>
      </c>
      <c r="E27" t="str">
        <v>Amarilla</v>
      </c>
      <c r="F27">
        <v>1520</v>
      </c>
      <c r="G27">
        <v>260.02999999999997</v>
      </c>
      <c r="H27">
        <v>362</v>
      </c>
      <c r="I27">
        <v>550240</v>
      </c>
      <c r="J27" t="str">
        <v>Yes</v>
      </c>
      <c r="M27">
        <v>11889</v>
      </c>
      <c r="N27" t="str">
        <v>Ireland</v>
      </c>
      <c r="O27" t="str">
        <v>Amarilla</v>
      </c>
      <c r="P27">
        <v>2876</v>
      </c>
      <c r="Q27">
        <v>260.24</v>
      </c>
      <c r="R27">
        <v>344</v>
      </c>
      <c r="S27">
        <v>989344</v>
      </c>
      <c r="T27" t="str">
        <v>Yes</v>
      </c>
    </row>
    <row r="28" spans="1:30" x14ac:dyDescent="0.25">
      <c r="A28" t="str">
        <v>VTT</v>
      </c>
      <c r="C28">
        <v>72425</v>
      </c>
      <c r="D28" t="str">
        <v>Ireland</v>
      </c>
      <c r="E28" t="str">
        <v>Amarilla</v>
      </c>
      <c r="F28">
        <v>1269</v>
      </c>
      <c r="G28">
        <v>260.31</v>
      </c>
      <c r="H28">
        <v>331</v>
      </c>
      <c r="I28">
        <v>420039</v>
      </c>
      <c r="J28" t="str">
        <v>Yes</v>
      </c>
      <c r="M28">
        <v>29006</v>
      </c>
      <c r="N28" t="str">
        <v>Ireland</v>
      </c>
      <c r="O28" t="str">
        <v>Paseo</v>
      </c>
      <c r="P28">
        <v>2708</v>
      </c>
      <c r="Q28">
        <v>10.11</v>
      </c>
      <c r="R28">
        <v>12</v>
      </c>
      <c r="S28">
        <v>32496</v>
      </c>
      <c r="T28" t="str">
        <v>Yes</v>
      </c>
    </row>
    <row r="29" spans="1:30" x14ac:dyDescent="0.25">
      <c r="A29" t="str">
        <v>Carretera</v>
      </c>
      <c r="C29">
        <v>94971</v>
      </c>
      <c r="D29" t="str">
        <v>France</v>
      </c>
      <c r="E29" t="str">
        <v>Amarilla</v>
      </c>
      <c r="F29">
        <v>1899</v>
      </c>
      <c r="G29">
        <v>260.13</v>
      </c>
      <c r="H29">
        <v>354</v>
      </c>
      <c r="I29">
        <v>672246</v>
      </c>
      <c r="J29" t="str">
        <v>No</v>
      </c>
      <c r="M29">
        <v>53305</v>
      </c>
      <c r="N29" t="str">
        <v>Ireland</v>
      </c>
      <c r="O29" t="str">
        <v>Paseo</v>
      </c>
      <c r="P29">
        <v>591</v>
      </c>
      <c r="Q29">
        <v>10.220000000000001</v>
      </c>
      <c r="R29">
        <v>15</v>
      </c>
      <c r="S29">
        <v>8865</v>
      </c>
      <c r="T29" t="str">
        <v>No</v>
      </c>
    </row>
    <row r="30" spans="1:30" x14ac:dyDescent="0.25">
      <c r="A30" t="str">
        <v>Montana</v>
      </c>
      <c r="C30">
        <v>66377</v>
      </c>
      <c r="D30" t="str">
        <v>France</v>
      </c>
      <c r="E30" t="str">
        <v>Amarilla</v>
      </c>
      <c r="F30">
        <v>3421</v>
      </c>
      <c r="G30">
        <v>260.55</v>
      </c>
      <c r="H30">
        <v>277</v>
      </c>
      <c r="I30">
        <v>947617</v>
      </c>
      <c r="J30" t="str">
        <v>Yes</v>
      </c>
      <c r="M30">
        <v>17015</v>
      </c>
      <c r="N30" t="str">
        <v>Ireland</v>
      </c>
      <c r="O30" t="str">
        <v>Paseo</v>
      </c>
      <c r="P30">
        <v>747</v>
      </c>
      <c r="Q30">
        <v>10.8</v>
      </c>
      <c r="R30">
        <v>13</v>
      </c>
      <c r="S30">
        <v>9711</v>
      </c>
      <c r="T30" t="str">
        <v>No</v>
      </c>
    </row>
    <row r="31" spans="1:30" x14ac:dyDescent="0.25">
      <c r="C31">
        <v>11889</v>
      </c>
      <c r="D31" t="str">
        <v>Ireland</v>
      </c>
      <c r="E31" t="str">
        <v>Amarilla</v>
      </c>
      <c r="F31">
        <v>2876</v>
      </c>
      <c r="G31">
        <v>260.24</v>
      </c>
      <c r="H31">
        <v>344</v>
      </c>
      <c r="I31">
        <v>989344</v>
      </c>
      <c r="J31" t="str">
        <v>Yes</v>
      </c>
      <c r="M31">
        <v>53800</v>
      </c>
      <c r="N31" t="str">
        <v>Ireland</v>
      </c>
      <c r="O31" t="str">
        <v>Velo</v>
      </c>
      <c r="P31">
        <v>1545</v>
      </c>
      <c r="Q31">
        <v>120.29</v>
      </c>
      <c r="R31">
        <v>171</v>
      </c>
      <c r="S31">
        <v>264195</v>
      </c>
      <c r="T31" t="str">
        <v>No</v>
      </c>
    </row>
    <row r="32" spans="1:30" x14ac:dyDescent="0.25">
      <c r="C32">
        <v>51955</v>
      </c>
      <c r="D32" t="str">
        <v>Italy</v>
      </c>
      <c r="E32" t="str">
        <v>Amarilla</v>
      </c>
      <c r="F32">
        <v>2015</v>
      </c>
      <c r="G32">
        <v>260.26</v>
      </c>
      <c r="H32">
        <v>305</v>
      </c>
      <c r="I32">
        <v>614575</v>
      </c>
      <c r="J32" t="str">
        <v>Yes</v>
      </c>
      <c r="M32">
        <v>65221</v>
      </c>
      <c r="N32" t="str">
        <v>Ireland</v>
      </c>
      <c r="O32" t="str">
        <v>VTT</v>
      </c>
      <c r="P32">
        <v>2387</v>
      </c>
      <c r="Q32">
        <v>250.3</v>
      </c>
      <c r="R32">
        <v>346</v>
      </c>
      <c r="S32">
        <v>825902</v>
      </c>
      <c r="T32" t="str">
        <v>No</v>
      </c>
    </row>
    <row r="33" spans="3:20" x14ac:dyDescent="0.25">
      <c r="C33">
        <v>96854</v>
      </c>
      <c r="D33" t="str">
        <v>Ireland</v>
      </c>
      <c r="E33" t="str">
        <v>Amarilla</v>
      </c>
      <c r="F33">
        <v>1143</v>
      </c>
      <c r="G33">
        <v>260.61</v>
      </c>
      <c r="H33">
        <v>274</v>
      </c>
      <c r="I33">
        <v>313182</v>
      </c>
      <c r="J33" t="str">
        <v>Yes</v>
      </c>
      <c r="M33">
        <v>48363</v>
      </c>
      <c r="N33" t="str">
        <v>Ireland</v>
      </c>
      <c r="O33" t="str">
        <v>Paseo</v>
      </c>
      <c r="P33">
        <v>1369</v>
      </c>
      <c r="Q33">
        <v>10.35</v>
      </c>
      <c r="R33">
        <v>11</v>
      </c>
      <c r="S33">
        <v>15059</v>
      </c>
      <c r="T33" t="str">
        <v>No</v>
      </c>
    </row>
    <row r="34" spans="3:20" x14ac:dyDescent="0.25">
      <c r="C34">
        <v>24434</v>
      </c>
      <c r="D34" t="str">
        <v>Netherlands</v>
      </c>
      <c r="E34" t="str">
        <v>Amarilla</v>
      </c>
      <c r="F34">
        <v>708</v>
      </c>
      <c r="G34">
        <v>260.38</v>
      </c>
      <c r="H34">
        <v>279</v>
      </c>
      <c r="I34">
        <v>197532</v>
      </c>
      <c r="J34" t="str">
        <v>No</v>
      </c>
      <c r="M34">
        <v>21823</v>
      </c>
      <c r="N34" t="str">
        <v>Ireland</v>
      </c>
      <c r="O34" t="str">
        <v>VTT</v>
      </c>
      <c r="P34">
        <v>2729</v>
      </c>
      <c r="Q34">
        <v>250.81</v>
      </c>
      <c r="R34">
        <v>317</v>
      </c>
      <c r="S34">
        <v>865093</v>
      </c>
      <c r="T34" t="str">
        <v>Yes</v>
      </c>
    </row>
    <row r="35" spans="3:20" x14ac:dyDescent="0.25">
      <c r="C35">
        <v>53760</v>
      </c>
      <c r="D35" t="str">
        <v>Spain</v>
      </c>
      <c r="E35" t="str">
        <v>Amarilla</v>
      </c>
      <c r="F35">
        <v>1679</v>
      </c>
      <c r="G35">
        <v>261</v>
      </c>
      <c r="H35">
        <v>353</v>
      </c>
      <c r="I35">
        <v>592687</v>
      </c>
      <c r="J35" t="str">
        <v>No</v>
      </c>
      <c r="M35">
        <v>68902</v>
      </c>
      <c r="N35" t="str">
        <v>Ireland</v>
      </c>
      <c r="O35" t="str">
        <v>Paseo</v>
      </c>
      <c r="P35">
        <v>293</v>
      </c>
      <c r="Q35">
        <v>10.89</v>
      </c>
      <c r="R35">
        <v>13</v>
      </c>
      <c r="S35">
        <v>3809</v>
      </c>
      <c r="T35" t="str">
        <v>Yes</v>
      </c>
    </row>
    <row r="36" spans="3:20" x14ac:dyDescent="0.25">
      <c r="C36">
        <v>38909</v>
      </c>
      <c r="D36" t="str">
        <v>France</v>
      </c>
      <c r="E36" t="str">
        <v>Amarilla</v>
      </c>
      <c r="F36">
        <v>1987</v>
      </c>
      <c r="G36">
        <v>260.29000000000002</v>
      </c>
      <c r="H36">
        <v>391</v>
      </c>
      <c r="I36">
        <v>776917</v>
      </c>
      <c r="J36" t="str">
        <v>Yes</v>
      </c>
      <c r="M36">
        <v>96854</v>
      </c>
      <c r="N36" t="str">
        <v>Ireland</v>
      </c>
      <c r="O36" t="str">
        <v>Amarilla</v>
      </c>
      <c r="P36">
        <v>1143</v>
      </c>
      <c r="Q36">
        <v>260.61</v>
      </c>
      <c r="R36">
        <v>274</v>
      </c>
      <c r="S36">
        <v>313182</v>
      </c>
      <c r="T36" t="str">
        <v>Yes</v>
      </c>
    </row>
    <row r="37" spans="3:20" x14ac:dyDescent="0.25">
      <c r="C37">
        <v>93812</v>
      </c>
      <c r="D37" t="str">
        <v>Germany</v>
      </c>
      <c r="E37" t="str">
        <v>Amarilla</v>
      </c>
      <c r="F37">
        <v>1250</v>
      </c>
      <c r="G37">
        <v>260.64</v>
      </c>
      <c r="H37">
        <v>334</v>
      </c>
      <c r="I37">
        <v>417500</v>
      </c>
      <c r="J37" t="str">
        <v>Yes</v>
      </c>
      <c r="M37">
        <v>84469</v>
      </c>
      <c r="N37" t="str">
        <v>Ireland</v>
      </c>
      <c r="O37" t="str">
        <v>Paseo</v>
      </c>
      <c r="P37">
        <v>2993</v>
      </c>
      <c r="Q37">
        <v>10.1</v>
      </c>
      <c r="R37">
        <v>12</v>
      </c>
      <c r="S37">
        <v>35916</v>
      </c>
      <c r="T37" t="str">
        <v>Yes</v>
      </c>
    </row>
    <row r="38" spans="3:20" x14ac:dyDescent="0.25">
      <c r="C38">
        <v>56167</v>
      </c>
      <c r="D38" t="str">
        <v>Italy</v>
      </c>
      <c r="E38" t="str">
        <v>Amarilla</v>
      </c>
      <c r="F38">
        <v>2844</v>
      </c>
      <c r="G38">
        <v>260.25</v>
      </c>
      <c r="H38">
        <v>308</v>
      </c>
      <c r="I38">
        <v>875952</v>
      </c>
      <c r="J38" t="str">
        <v>No</v>
      </c>
      <c r="M38">
        <v>36823</v>
      </c>
      <c r="N38" t="str">
        <v>Ireland</v>
      </c>
      <c r="O38" t="str">
        <v>VTT</v>
      </c>
      <c r="P38">
        <v>2215</v>
      </c>
      <c r="Q38">
        <v>250.02</v>
      </c>
      <c r="R38">
        <v>361</v>
      </c>
      <c r="S38">
        <v>799615</v>
      </c>
      <c r="T38" t="str">
        <v>No</v>
      </c>
    </row>
    <row r="39" spans="3:20" x14ac:dyDescent="0.25">
      <c r="C39">
        <v>12209</v>
      </c>
      <c r="D39" t="str">
        <v>Ireland</v>
      </c>
      <c r="E39" t="str">
        <v>Amarilla</v>
      </c>
      <c r="F39">
        <v>2548</v>
      </c>
      <c r="G39">
        <v>260.95999999999998</v>
      </c>
      <c r="H39">
        <v>345</v>
      </c>
      <c r="I39">
        <v>879060</v>
      </c>
      <c r="J39" t="str">
        <v>Yes</v>
      </c>
      <c r="M39">
        <v>13369</v>
      </c>
      <c r="N39" t="str">
        <v>Ireland</v>
      </c>
      <c r="O39" t="str">
        <v>Paseo</v>
      </c>
      <c r="P39">
        <v>700</v>
      </c>
      <c r="Q39">
        <v>10.39</v>
      </c>
      <c r="R39">
        <v>12</v>
      </c>
      <c r="S39">
        <v>8400</v>
      </c>
      <c r="T39" t="str">
        <v>No</v>
      </c>
    </row>
    <row r="40" spans="3:20" x14ac:dyDescent="0.25">
      <c r="C40">
        <v>69840</v>
      </c>
      <c r="D40" t="str">
        <v>Germany</v>
      </c>
      <c r="E40" t="str">
        <v>Amarilla</v>
      </c>
      <c r="F40">
        <v>472</v>
      </c>
      <c r="G40">
        <v>260.33999999999997</v>
      </c>
      <c r="H40">
        <v>316</v>
      </c>
      <c r="I40">
        <v>149152</v>
      </c>
      <c r="J40" t="str">
        <v>No</v>
      </c>
      <c r="M40">
        <v>12209</v>
      </c>
      <c r="N40" t="str">
        <v>Ireland</v>
      </c>
      <c r="O40" t="str">
        <v>Amarilla</v>
      </c>
      <c r="P40">
        <v>2548</v>
      </c>
      <c r="Q40">
        <v>260.95999999999998</v>
      </c>
      <c r="R40">
        <v>345</v>
      </c>
      <c r="S40">
        <v>879060</v>
      </c>
      <c r="T40" t="str">
        <v>Yes</v>
      </c>
    </row>
    <row r="41" spans="3:20" x14ac:dyDescent="0.25">
      <c r="C41">
        <v>56221</v>
      </c>
      <c r="D41" t="str">
        <v>Spain</v>
      </c>
      <c r="E41" t="str">
        <v>Amarilla</v>
      </c>
      <c r="F41">
        <v>1375</v>
      </c>
      <c r="G41">
        <v>260.67</v>
      </c>
      <c r="H41">
        <v>303</v>
      </c>
      <c r="I41">
        <v>416625</v>
      </c>
      <c r="J41" t="str">
        <v>Yes</v>
      </c>
      <c r="M41">
        <v>49321</v>
      </c>
      <c r="N41" t="str">
        <v>Ireland</v>
      </c>
      <c r="O41" t="str">
        <v>Paseo</v>
      </c>
      <c r="P41">
        <v>1598</v>
      </c>
      <c r="Q41">
        <v>10.4</v>
      </c>
      <c r="R41">
        <v>12</v>
      </c>
      <c r="S41">
        <v>19176</v>
      </c>
      <c r="T41" t="str">
        <v>No</v>
      </c>
    </row>
    <row r="42" spans="3:20" x14ac:dyDescent="0.25">
      <c r="C42">
        <v>27636</v>
      </c>
      <c r="D42" t="str">
        <v>Netherlands</v>
      </c>
      <c r="E42" t="str">
        <v>Amarilla</v>
      </c>
      <c r="F42">
        <v>1743</v>
      </c>
      <c r="G42">
        <v>260.12</v>
      </c>
      <c r="H42">
        <v>349</v>
      </c>
      <c r="I42">
        <v>608307</v>
      </c>
      <c r="J42" t="str">
        <v>No</v>
      </c>
      <c r="M42">
        <v>76234</v>
      </c>
      <c r="N42" t="str">
        <v>Ireland</v>
      </c>
      <c r="O42" t="str">
        <v>Montana</v>
      </c>
      <c r="P42">
        <v>711</v>
      </c>
      <c r="Q42">
        <v>5.57</v>
      </c>
      <c r="R42">
        <v>9</v>
      </c>
      <c r="S42">
        <v>6399</v>
      </c>
      <c r="T42" t="str">
        <v>No</v>
      </c>
    </row>
    <row r="43" spans="3:20" x14ac:dyDescent="0.25">
      <c r="C43">
        <v>69158</v>
      </c>
      <c r="D43" t="str">
        <v>Netherlands</v>
      </c>
      <c r="E43" t="str">
        <v>Amarilla</v>
      </c>
      <c r="F43">
        <v>3520</v>
      </c>
      <c r="G43">
        <v>260.08</v>
      </c>
      <c r="H43">
        <v>336</v>
      </c>
      <c r="I43">
        <v>1182720</v>
      </c>
      <c r="J43" t="str">
        <v>No</v>
      </c>
      <c r="M43">
        <v>40315</v>
      </c>
      <c r="N43" t="str">
        <v>Ireland</v>
      </c>
      <c r="O43" t="str">
        <v>Carretera</v>
      </c>
      <c r="P43">
        <v>2851</v>
      </c>
      <c r="Q43">
        <v>3.33</v>
      </c>
      <c r="R43">
        <v>5</v>
      </c>
      <c r="S43">
        <v>14255</v>
      </c>
      <c r="T43" t="str">
        <v>Yes</v>
      </c>
    </row>
    <row r="44" spans="3:20" x14ac:dyDescent="0.25">
      <c r="C44">
        <v>50485</v>
      </c>
      <c r="D44" t="str">
        <v>Italy</v>
      </c>
      <c r="E44" t="str">
        <v>Amarilla</v>
      </c>
      <c r="F44">
        <v>2914</v>
      </c>
      <c r="G44">
        <v>260.27999999999997</v>
      </c>
      <c r="H44">
        <v>321</v>
      </c>
      <c r="I44">
        <v>935394</v>
      </c>
      <c r="J44" t="str">
        <v>No</v>
      </c>
      <c r="M44">
        <v>78166</v>
      </c>
      <c r="N44" t="str">
        <v>Ireland</v>
      </c>
      <c r="O44" t="str">
        <v>Carretera</v>
      </c>
      <c r="P44">
        <v>1482</v>
      </c>
      <c r="Q44">
        <v>3.68</v>
      </c>
      <c r="R44">
        <v>5</v>
      </c>
      <c r="S44">
        <v>7410</v>
      </c>
      <c r="T44" t="str">
        <v>No</v>
      </c>
    </row>
    <row r="45" spans="3:20" x14ac:dyDescent="0.25">
      <c r="C45">
        <v>65585</v>
      </c>
      <c r="D45" t="str">
        <v>Spain</v>
      </c>
      <c r="E45" t="str">
        <v>Amarilla</v>
      </c>
      <c r="F45">
        <v>546</v>
      </c>
      <c r="G45">
        <v>260.64999999999998</v>
      </c>
      <c r="H45">
        <v>373</v>
      </c>
      <c r="I45">
        <v>203658</v>
      </c>
      <c r="J45" t="str">
        <v>No</v>
      </c>
      <c r="M45">
        <v>98881</v>
      </c>
      <c r="N45" t="str">
        <v>Ireland</v>
      </c>
      <c r="O45" t="str">
        <v>Velo</v>
      </c>
      <c r="P45">
        <v>2110</v>
      </c>
      <c r="Q45">
        <v>120.48</v>
      </c>
      <c r="R45">
        <v>150</v>
      </c>
      <c r="S45">
        <v>316500</v>
      </c>
      <c r="T45" t="str">
        <v>No</v>
      </c>
    </row>
    <row r="46" spans="3:20" x14ac:dyDescent="0.25">
      <c r="C46">
        <v>72160</v>
      </c>
      <c r="D46" t="str">
        <v>Spain</v>
      </c>
      <c r="E46" t="str">
        <v>Amarilla</v>
      </c>
      <c r="F46">
        <v>1694</v>
      </c>
      <c r="G46">
        <v>260.33</v>
      </c>
      <c r="H46">
        <v>360</v>
      </c>
      <c r="I46">
        <v>609840</v>
      </c>
      <c r="J46" t="str">
        <v>Yes</v>
      </c>
      <c r="M46">
        <v>57174</v>
      </c>
      <c r="N46" t="str">
        <v>Ireland</v>
      </c>
      <c r="O46" t="str">
        <v>Paseo</v>
      </c>
      <c r="P46">
        <v>2409</v>
      </c>
      <c r="Q46">
        <v>10.78</v>
      </c>
      <c r="R46">
        <v>12</v>
      </c>
      <c r="S46">
        <v>28908</v>
      </c>
      <c r="T46" t="str">
        <v>No</v>
      </c>
    </row>
    <row r="47" spans="3:20" x14ac:dyDescent="0.25">
      <c r="C47">
        <v>23829</v>
      </c>
      <c r="D47" t="str">
        <v>Germany</v>
      </c>
      <c r="E47" t="str">
        <v>Amarilla</v>
      </c>
      <c r="F47">
        <v>1770</v>
      </c>
      <c r="G47">
        <v>260.45</v>
      </c>
      <c r="H47">
        <v>368</v>
      </c>
      <c r="I47">
        <v>651360</v>
      </c>
      <c r="J47" t="str">
        <v>Yes</v>
      </c>
      <c r="M47">
        <v>41943</v>
      </c>
      <c r="N47" t="str">
        <v>Ireland</v>
      </c>
      <c r="O47" t="str">
        <v>Paseo</v>
      </c>
      <c r="P47">
        <v>1823</v>
      </c>
      <c r="Q47">
        <v>10.45</v>
      </c>
      <c r="R47">
        <v>11</v>
      </c>
      <c r="S47">
        <v>20053</v>
      </c>
      <c r="T47" t="str">
        <v>No</v>
      </c>
    </row>
    <row r="48" spans="3:20" x14ac:dyDescent="0.25">
      <c r="C48">
        <v>23885</v>
      </c>
      <c r="D48" t="str">
        <v>Netherlands</v>
      </c>
      <c r="E48" t="str">
        <v>Amarilla</v>
      </c>
      <c r="F48">
        <v>1916</v>
      </c>
      <c r="G48">
        <v>260.87</v>
      </c>
      <c r="H48">
        <v>337</v>
      </c>
      <c r="I48">
        <v>645692</v>
      </c>
      <c r="J48" t="str">
        <v>Yes</v>
      </c>
      <c r="M48">
        <v>82959</v>
      </c>
      <c r="N48" t="str">
        <v>Ireland</v>
      </c>
      <c r="O48" t="str">
        <v>Velo</v>
      </c>
      <c r="P48">
        <v>1262</v>
      </c>
      <c r="Q48">
        <v>120.05</v>
      </c>
      <c r="R48">
        <v>161</v>
      </c>
      <c r="S48">
        <v>203182</v>
      </c>
      <c r="T48" t="str">
        <v>No</v>
      </c>
    </row>
    <row r="49" spans="3:20" x14ac:dyDescent="0.25">
      <c r="C49">
        <v>23073</v>
      </c>
      <c r="D49" t="str">
        <v>Italy</v>
      </c>
      <c r="E49" t="str">
        <v>Amarilla</v>
      </c>
      <c r="F49">
        <v>671</v>
      </c>
      <c r="G49">
        <v>260.27999999999997</v>
      </c>
      <c r="H49">
        <v>347</v>
      </c>
      <c r="I49">
        <v>232837</v>
      </c>
      <c r="J49" t="str">
        <v>No</v>
      </c>
      <c r="M49">
        <v>73882</v>
      </c>
      <c r="N49" t="str">
        <v>Ireland</v>
      </c>
      <c r="O49" t="str">
        <v>Paseo</v>
      </c>
      <c r="P49">
        <v>1362</v>
      </c>
      <c r="Q49">
        <v>10.56</v>
      </c>
      <c r="R49">
        <v>11</v>
      </c>
      <c r="S49">
        <v>14982</v>
      </c>
      <c r="T49" t="str">
        <v>Yes</v>
      </c>
    </row>
    <row r="50" spans="3:20" x14ac:dyDescent="0.25">
      <c r="C50">
        <v>98766</v>
      </c>
      <c r="D50" t="str">
        <v>Spain</v>
      </c>
      <c r="E50" t="str">
        <v>Amarilla</v>
      </c>
      <c r="F50">
        <v>344</v>
      </c>
      <c r="G50">
        <v>260.19</v>
      </c>
      <c r="H50">
        <v>380</v>
      </c>
      <c r="I50">
        <v>130720</v>
      </c>
      <c r="J50" t="str">
        <v>Yes</v>
      </c>
      <c r="M50">
        <v>56943</v>
      </c>
      <c r="N50" t="str">
        <v>Ireland</v>
      </c>
      <c r="O50" t="str">
        <v>Carretera</v>
      </c>
      <c r="P50">
        <v>1884</v>
      </c>
      <c r="Q50">
        <v>3.9699999999999998</v>
      </c>
      <c r="R50">
        <v>6</v>
      </c>
      <c r="S50">
        <v>11304</v>
      </c>
      <c r="T50" t="str">
        <v>Yes</v>
      </c>
    </row>
    <row r="51" spans="3:20" x14ac:dyDescent="0.25">
      <c r="C51">
        <v>41208</v>
      </c>
      <c r="D51" t="str">
        <v>Netherlands</v>
      </c>
      <c r="E51" t="str">
        <v>Amarilla</v>
      </c>
      <c r="F51">
        <v>552</v>
      </c>
      <c r="G51">
        <v>260.41000000000003</v>
      </c>
      <c r="H51">
        <v>316</v>
      </c>
      <c r="I51">
        <v>174432</v>
      </c>
      <c r="J51" t="str">
        <v>No</v>
      </c>
      <c r="M51">
        <v>49425</v>
      </c>
      <c r="N51" t="str">
        <v>Ireland</v>
      </c>
      <c r="O51" t="str">
        <v>Velo</v>
      </c>
      <c r="P51">
        <v>639</v>
      </c>
      <c r="Q51">
        <v>120.18</v>
      </c>
      <c r="R51">
        <v>174</v>
      </c>
      <c r="S51">
        <v>111186</v>
      </c>
      <c r="T51" t="str">
        <v>No</v>
      </c>
    </row>
    <row r="52" spans="3:20" x14ac:dyDescent="0.25">
      <c r="C52">
        <v>93736</v>
      </c>
      <c r="D52" t="str">
        <v>Spain</v>
      </c>
      <c r="E52" t="str">
        <v>Amarilla</v>
      </c>
      <c r="F52">
        <v>1038</v>
      </c>
      <c r="G52">
        <v>260.25</v>
      </c>
      <c r="H52">
        <v>331</v>
      </c>
      <c r="I52">
        <v>343578</v>
      </c>
      <c r="J52" t="str">
        <v>Yes</v>
      </c>
      <c r="M52">
        <v>13656</v>
      </c>
      <c r="N52" t="str">
        <v>Ireland</v>
      </c>
      <c r="O52" t="str">
        <v>Paseo</v>
      </c>
      <c r="P52">
        <v>1570</v>
      </c>
      <c r="Q52">
        <v>10.87</v>
      </c>
      <c r="R52">
        <v>16</v>
      </c>
      <c r="S52">
        <v>25120</v>
      </c>
      <c r="T52" t="str">
        <v>Yes</v>
      </c>
    </row>
    <row r="53" spans="3:20" x14ac:dyDescent="0.25">
      <c r="C53">
        <v>45405</v>
      </c>
      <c r="D53" t="str">
        <v>Germany</v>
      </c>
      <c r="E53" t="str">
        <v>Amarilla</v>
      </c>
      <c r="F53">
        <v>1686</v>
      </c>
      <c r="G53">
        <v>260.68</v>
      </c>
      <c r="H53">
        <v>389</v>
      </c>
      <c r="I53">
        <v>655854</v>
      </c>
      <c r="J53" t="str">
        <v>Yes</v>
      </c>
      <c r="M53">
        <v>10824</v>
      </c>
      <c r="N53" t="str">
        <v>Ireland</v>
      </c>
      <c r="O53" t="str">
        <v>Montana</v>
      </c>
      <c r="P53">
        <v>1138</v>
      </c>
      <c r="Q53">
        <v>5.1100000000000003</v>
      </c>
      <c r="R53">
        <v>7</v>
      </c>
      <c r="S53">
        <v>7966</v>
      </c>
      <c r="T53" t="str">
        <v>No</v>
      </c>
    </row>
    <row r="54" spans="3:20" x14ac:dyDescent="0.25">
      <c r="C54">
        <v>64826</v>
      </c>
      <c r="D54" t="str">
        <v>Netherlands</v>
      </c>
      <c r="E54" t="str">
        <v>Amarilla</v>
      </c>
      <c r="F54">
        <v>1135</v>
      </c>
      <c r="G54">
        <v>260.27999999999997</v>
      </c>
      <c r="H54">
        <v>334</v>
      </c>
      <c r="I54">
        <v>379090</v>
      </c>
      <c r="J54" t="str">
        <v>No</v>
      </c>
      <c r="M54">
        <v>24486</v>
      </c>
      <c r="N54" t="str">
        <v>Ireland</v>
      </c>
      <c r="O54" t="str">
        <v>Paseo</v>
      </c>
      <c r="P54">
        <v>1177</v>
      </c>
      <c r="Q54">
        <v>10.44</v>
      </c>
      <c r="R54">
        <v>16</v>
      </c>
      <c r="S54">
        <v>18832</v>
      </c>
      <c r="T54" t="str">
        <v>No</v>
      </c>
    </row>
    <row r="55" spans="3:20" x14ac:dyDescent="0.25">
      <c r="C55">
        <v>79449</v>
      </c>
      <c r="D55" t="str">
        <v>Netherlands</v>
      </c>
      <c r="E55" t="str">
        <v>Amarilla</v>
      </c>
      <c r="F55">
        <v>1630</v>
      </c>
      <c r="G55">
        <v>260.49</v>
      </c>
      <c r="H55">
        <v>264</v>
      </c>
      <c r="I55">
        <v>430320</v>
      </c>
      <c r="J55" t="str">
        <v>Yes</v>
      </c>
      <c r="M55">
        <v>95518</v>
      </c>
      <c r="N55" t="str">
        <v>Ireland</v>
      </c>
      <c r="O55" t="str">
        <v>Paseo</v>
      </c>
      <c r="P55">
        <v>1153</v>
      </c>
      <c r="Q55">
        <v>10.67</v>
      </c>
      <c r="R55">
        <v>12</v>
      </c>
      <c r="S55">
        <v>13836</v>
      </c>
      <c r="T55" t="str">
        <v>Yes</v>
      </c>
    </row>
    <row r="56" spans="3:20" x14ac:dyDescent="0.25">
      <c r="C56">
        <v>81421</v>
      </c>
      <c r="D56" t="str">
        <v>Italy</v>
      </c>
      <c r="E56" t="str">
        <v>Amarilla</v>
      </c>
      <c r="F56">
        <v>2907</v>
      </c>
      <c r="G56">
        <v>260.10000000000002</v>
      </c>
      <c r="H56">
        <v>331</v>
      </c>
      <c r="I56">
        <v>962217</v>
      </c>
      <c r="J56" t="str">
        <v>Yes</v>
      </c>
      <c r="M56">
        <v>59693</v>
      </c>
      <c r="N56" t="str">
        <v>Ireland</v>
      </c>
      <c r="O56" t="str">
        <v>Velo</v>
      </c>
      <c r="P56">
        <v>2628</v>
      </c>
      <c r="Q56">
        <v>120.36</v>
      </c>
      <c r="R56">
        <v>123</v>
      </c>
      <c r="S56">
        <v>323244</v>
      </c>
      <c r="T56" t="str">
        <v>No</v>
      </c>
    </row>
    <row r="57" spans="3:20" x14ac:dyDescent="0.25">
      <c r="C57">
        <v>23035</v>
      </c>
      <c r="D57" t="str">
        <v>France</v>
      </c>
      <c r="E57" t="str">
        <v>Amarilla</v>
      </c>
      <c r="F57">
        <v>306</v>
      </c>
      <c r="G57">
        <v>260.93</v>
      </c>
      <c r="H57">
        <v>316</v>
      </c>
      <c r="I57">
        <v>96696</v>
      </c>
      <c r="J57" t="str">
        <v>Yes</v>
      </c>
      <c r="M57">
        <v>37140</v>
      </c>
      <c r="N57" t="str">
        <v>Ireland</v>
      </c>
      <c r="O57" t="str">
        <v>Carretera</v>
      </c>
      <c r="P57">
        <v>1580</v>
      </c>
      <c r="Q57">
        <v>3.2</v>
      </c>
      <c r="R57">
        <v>4</v>
      </c>
      <c r="S57">
        <v>6320</v>
      </c>
      <c r="T57" t="str">
        <v>No</v>
      </c>
    </row>
    <row r="58" spans="3:20" x14ac:dyDescent="0.25">
      <c r="C58">
        <v>53475</v>
      </c>
      <c r="D58" t="str">
        <v>Spain</v>
      </c>
      <c r="E58" t="str">
        <v>Amarilla</v>
      </c>
      <c r="F58">
        <v>1870</v>
      </c>
      <c r="G58">
        <v>260.42</v>
      </c>
      <c r="H58">
        <v>318</v>
      </c>
      <c r="I58">
        <v>594660</v>
      </c>
      <c r="J58" t="str">
        <v>Yes</v>
      </c>
      <c r="M58">
        <v>68168</v>
      </c>
      <c r="N58" t="str">
        <v>Ireland</v>
      </c>
      <c r="O58" t="str">
        <v>Paseo</v>
      </c>
      <c r="P58">
        <v>1785</v>
      </c>
      <c r="Q58">
        <v>10.65</v>
      </c>
      <c r="R58">
        <v>14</v>
      </c>
      <c r="S58">
        <v>24990</v>
      </c>
      <c r="T58" t="str">
        <v>No</v>
      </c>
    </row>
    <row r="59" spans="3:20" x14ac:dyDescent="0.25">
      <c r="C59">
        <v>59814</v>
      </c>
      <c r="D59" t="str">
        <v>France</v>
      </c>
      <c r="E59" t="str">
        <v>Amarilla</v>
      </c>
      <c r="F59">
        <v>853</v>
      </c>
      <c r="G59">
        <v>260.60000000000002</v>
      </c>
      <c r="H59">
        <v>269</v>
      </c>
      <c r="I59">
        <v>229457</v>
      </c>
      <c r="J59" t="str">
        <v>Yes</v>
      </c>
      <c r="M59">
        <v>46587</v>
      </c>
      <c r="N59" t="str">
        <v>Ireland</v>
      </c>
      <c r="O59" t="str">
        <v>VTT</v>
      </c>
      <c r="P59">
        <v>1221</v>
      </c>
      <c r="Q59">
        <v>250.75</v>
      </c>
      <c r="R59">
        <v>374</v>
      </c>
      <c r="S59">
        <v>456654</v>
      </c>
      <c r="T59" t="str">
        <v>Yes</v>
      </c>
    </row>
    <row r="60" spans="3:20" x14ac:dyDescent="0.25">
      <c r="C60">
        <v>93533</v>
      </c>
      <c r="D60" t="str">
        <v>Netherlands</v>
      </c>
      <c r="E60" t="str">
        <v>Amarilla</v>
      </c>
      <c r="F60">
        <v>1228</v>
      </c>
      <c r="G60">
        <v>260.24</v>
      </c>
      <c r="H60">
        <v>357</v>
      </c>
      <c r="I60">
        <v>438396</v>
      </c>
      <c r="J60" t="str">
        <v>Yes</v>
      </c>
      <c r="M60">
        <v>63231</v>
      </c>
      <c r="N60" t="str">
        <v>Ireland</v>
      </c>
      <c r="O60" t="str">
        <v>Velo</v>
      </c>
      <c r="P60">
        <v>790</v>
      </c>
      <c r="Q60">
        <v>120.81</v>
      </c>
      <c r="R60">
        <v>131</v>
      </c>
      <c r="S60">
        <v>103490</v>
      </c>
      <c r="T60" t="str">
        <v>Yes</v>
      </c>
    </row>
    <row r="61" spans="3:20" x14ac:dyDescent="0.25">
      <c r="C61">
        <v>85496</v>
      </c>
      <c r="D61" t="str">
        <v>Spain</v>
      </c>
      <c r="E61" t="str">
        <v>Amarilla</v>
      </c>
      <c r="F61">
        <v>1101</v>
      </c>
      <c r="G61">
        <v>260.14999999999998</v>
      </c>
      <c r="H61">
        <v>320</v>
      </c>
      <c r="I61">
        <v>352320</v>
      </c>
      <c r="J61" t="str">
        <v>No</v>
      </c>
      <c r="M61">
        <v>98748</v>
      </c>
      <c r="N61" t="str">
        <v>Ireland</v>
      </c>
      <c r="O61" t="str">
        <v>Montana</v>
      </c>
      <c r="P61">
        <v>2313</v>
      </c>
      <c r="Q61">
        <v>5.09</v>
      </c>
      <c r="R61">
        <v>8</v>
      </c>
      <c r="S61">
        <v>18504</v>
      </c>
      <c r="T61" t="str">
        <v>Yes</v>
      </c>
    </row>
    <row r="62" spans="3:20" x14ac:dyDescent="0.25">
      <c r="C62">
        <v>54455</v>
      </c>
      <c r="D62" t="str">
        <v>France</v>
      </c>
      <c r="E62" t="str">
        <v>Amarilla</v>
      </c>
      <c r="F62">
        <v>2072</v>
      </c>
      <c r="G62">
        <v>260.69</v>
      </c>
      <c r="H62">
        <v>285</v>
      </c>
      <c r="I62">
        <v>590520</v>
      </c>
      <c r="J62" t="str">
        <v>No</v>
      </c>
      <c r="M62">
        <v>13326</v>
      </c>
      <c r="N62" t="str">
        <v>Ireland</v>
      </c>
      <c r="O62" t="str">
        <v>VTT</v>
      </c>
      <c r="P62">
        <v>2436</v>
      </c>
      <c r="Q62">
        <v>250.79</v>
      </c>
      <c r="R62">
        <v>347</v>
      </c>
      <c r="S62">
        <v>845292</v>
      </c>
      <c r="T62" t="str">
        <v>Yes</v>
      </c>
    </row>
    <row r="63" spans="3:20" x14ac:dyDescent="0.25">
      <c r="C63">
        <v>20733</v>
      </c>
      <c r="D63" t="str">
        <v>Germany</v>
      </c>
      <c r="E63" t="str">
        <v>Amarilla</v>
      </c>
      <c r="F63">
        <v>2966</v>
      </c>
      <c r="G63">
        <v>260.10000000000002</v>
      </c>
      <c r="H63">
        <v>266</v>
      </c>
      <c r="I63">
        <v>788956</v>
      </c>
      <c r="J63" t="str">
        <v>Yes</v>
      </c>
      <c r="M63">
        <v>46336</v>
      </c>
      <c r="N63" t="str">
        <v>Ireland</v>
      </c>
      <c r="O63" t="str">
        <v>Velo</v>
      </c>
      <c r="P63">
        <v>2076</v>
      </c>
      <c r="Q63">
        <v>120.41</v>
      </c>
      <c r="R63">
        <v>171</v>
      </c>
      <c r="S63">
        <v>354996</v>
      </c>
      <c r="T63" t="str">
        <v>No</v>
      </c>
    </row>
    <row r="64" spans="3:20" x14ac:dyDescent="0.25">
      <c r="C64">
        <v>43969</v>
      </c>
      <c r="D64" t="str">
        <v>Italy</v>
      </c>
      <c r="E64" t="str">
        <v>Amarilla</v>
      </c>
      <c r="F64">
        <v>1236</v>
      </c>
      <c r="G64">
        <v>260.5</v>
      </c>
      <c r="H64">
        <v>386</v>
      </c>
      <c r="I64">
        <v>477096</v>
      </c>
      <c r="J64" t="str">
        <v>Yes</v>
      </c>
      <c r="M64">
        <v>25692</v>
      </c>
      <c r="N64" t="str">
        <v>Ireland</v>
      </c>
      <c r="O64" t="str">
        <v>Montana</v>
      </c>
      <c r="P64">
        <v>1298</v>
      </c>
      <c r="Q64">
        <v>5.54</v>
      </c>
      <c r="R64">
        <v>8</v>
      </c>
      <c r="S64">
        <v>10384</v>
      </c>
      <c r="T64" t="str">
        <v>No</v>
      </c>
    </row>
    <row r="65" spans="3:20" x14ac:dyDescent="0.25">
      <c r="C65">
        <v>79740</v>
      </c>
      <c r="D65" t="str">
        <v>Spain</v>
      </c>
      <c r="E65" t="str">
        <v>Amarilla</v>
      </c>
      <c r="F65">
        <v>2039</v>
      </c>
      <c r="G65">
        <v>260.29000000000002</v>
      </c>
      <c r="H65">
        <v>295</v>
      </c>
      <c r="I65">
        <v>601505</v>
      </c>
      <c r="J65" t="str">
        <v>No</v>
      </c>
      <c r="M65">
        <v>63545</v>
      </c>
      <c r="N65" t="str">
        <v>Ireland</v>
      </c>
      <c r="O65" t="str">
        <v>Carretera</v>
      </c>
      <c r="P65">
        <v>3445</v>
      </c>
      <c r="Q65">
        <v>3.73</v>
      </c>
      <c r="R65">
        <v>5</v>
      </c>
      <c r="S65">
        <v>17225</v>
      </c>
      <c r="T65" t="str">
        <v>Yes</v>
      </c>
    </row>
    <row r="66" spans="3:20" x14ac:dyDescent="0.25">
      <c r="C66">
        <v>90609</v>
      </c>
      <c r="D66" t="str">
        <v>Italy</v>
      </c>
      <c r="E66" t="str">
        <v>Amarilla</v>
      </c>
      <c r="F66">
        <v>2993</v>
      </c>
      <c r="G66">
        <v>260.77</v>
      </c>
      <c r="H66">
        <v>350</v>
      </c>
      <c r="I66">
        <v>1047550</v>
      </c>
      <c r="J66" t="str">
        <v>Yes</v>
      </c>
      <c r="M66">
        <v>49680</v>
      </c>
      <c r="N66" t="str">
        <v>Ireland</v>
      </c>
      <c r="O66" t="str">
        <v>Montana</v>
      </c>
      <c r="P66">
        <v>663</v>
      </c>
      <c r="Q66">
        <v>5.71</v>
      </c>
      <c r="R66">
        <v>8</v>
      </c>
      <c r="S66">
        <v>5304</v>
      </c>
      <c r="T66" t="str">
        <v>No</v>
      </c>
    </row>
    <row r="67" spans="3:20" x14ac:dyDescent="0.25">
      <c r="C67">
        <v>21609</v>
      </c>
      <c r="D67" t="str">
        <v>Germany</v>
      </c>
      <c r="E67" t="str">
        <v>Amarilla</v>
      </c>
      <c r="F67">
        <v>970</v>
      </c>
      <c r="G67">
        <v>260.11</v>
      </c>
      <c r="H67">
        <v>336</v>
      </c>
      <c r="I67">
        <v>325920</v>
      </c>
      <c r="J67" t="str">
        <v>Yes</v>
      </c>
      <c r="M67">
        <v>85862</v>
      </c>
      <c r="N67" t="str">
        <v>Ireland</v>
      </c>
      <c r="O67" t="str">
        <v>Montana</v>
      </c>
      <c r="P67">
        <v>1857</v>
      </c>
      <c r="Q67">
        <v>5.47</v>
      </c>
      <c r="R67">
        <v>8</v>
      </c>
      <c r="S67">
        <v>14856</v>
      </c>
      <c r="T67" t="str">
        <v>No</v>
      </c>
    </row>
    <row r="68" spans="3:20" x14ac:dyDescent="0.25">
      <c r="C68">
        <v>27664</v>
      </c>
      <c r="D68" t="str">
        <v>Germany</v>
      </c>
      <c r="E68" t="str">
        <v>Amarilla</v>
      </c>
      <c r="F68">
        <v>3165</v>
      </c>
      <c r="G68">
        <v>260.95</v>
      </c>
      <c r="H68">
        <v>308</v>
      </c>
      <c r="I68">
        <v>974820</v>
      </c>
      <c r="J68" t="str">
        <v>No</v>
      </c>
      <c r="M68">
        <v>82956</v>
      </c>
      <c r="N68" t="str">
        <v>Ireland</v>
      </c>
      <c r="O68" t="str">
        <v>Velo</v>
      </c>
      <c r="P68">
        <v>923</v>
      </c>
      <c r="Q68">
        <v>120.58</v>
      </c>
      <c r="R68">
        <v>161</v>
      </c>
      <c r="S68">
        <v>148603</v>
      </c>
      <c r="T68" t="str">
        <v>No</v>
      </c>
    </row>
    <row r="69" spans="3:20" x14ac:dyDescent="0.25">
      <c r="C69">
        <v>74977</v>
      </c>
      <c r="D69" t="str">
        <v>Ireland</v>
      </c>
      <c r="E69" t="str">
        <v>Amarilla</v>
      </c>
      <c r="F69">
        <v>1659</v>
      </c>
      <c r="G69">
        <v>260.27999999999997</v>
      </c>
      <c r="H69">
        <v>308</v>
      </c>
      <c r="I69">
        <v>510972</v>
      </c>
      <c r="J69" t="str">
        <v>Yes</v>
      </c>
      <c r="M69">
        <v>41629</v>
      </c>
      <c r="N69" t="str">
        <v>Ireland</v>
      </c>
      <c r="O69" t="str">
        <v>VTT</v>
      </c>
      <c r="P69">
        <v>2663</v>
      </c>
      <c r="Q69">
        <v>250.69</v>
      </c>
      <c r="R69">
        <v>321</v>
      </c>
      <c r="S69">
        <v>854823</v>
      </c>
      <c r="T69" t="str">
        <v>No</v>
      </c>
    </row>
    <row r="70" spans="3:20" x14ac:dyDescent="0.25">
      <c r="C70">
        <v>75108</v>
      </c>
      <c r="D70" t="str">
        <v>Netherlands</v>
      </c>
      <c r="E70" t="str">
        <v>Amarilla</v>
      </c>
      <c r="F70">
        <v>707</v>
      </c>
      <c r="G70">
        <v>260.16000000000003</v>
      </c>
      <c r="H70">
        <v>365</v>
      </c>
      <c r="I70">
        <v>258055</v>
      </c>
      <c r="J70" t="str">
        <v>Yes</v>
      </c>
      <c r="M70">
        <v>11408</v>
      </c>
      <c r="N70" t="str">
        <v>Ireland</v>
      </c>
      <c r="O70" t="str">
        <v>Velo</v>
      </c>
      <c r="P70">
        <v>241</v>
      </c>
      <c r="Q70">
        <v>120.53</v>
      </c>
      <c r="R70">
        <v>146</v>
      </c>
      <c r="S70">
        <v>35186</v>
      </c>
      <c r="T70" t="str">
        <v>Yes</v>
      </c>
    </row>
    <row r="71" spans="3:20" x14ac:dyDescent="0.25">
      <c r="C71">
        <v>44845</v>
      </c>
      <c r="D71" t="str">
        <v>Netherlands</v>
      </c>
      <c r="E71" t="str">
        <v>Amarilla</v>
      </c>
      <c r="F71">
        <v>2761</v>
      </c>
      <c r="G71">
        <v>260.01</v>
      </c>
      <c r="H71">
        <v>313</v>
      </c>
      <c r="I71">
        <v>864193</v>
      </c>
      <c r="J71" t="str">
        <v>Yes</v>
      </c>
      <c r="M71">
        <v>31828</v>
      </c>
      <c r="N71" t="str">
        <v>Ireland</v>
      </c>
      <c r="O71" t="str">
        <v>Velo</v>
      </c>
      <c r="P71">
        <v>663</v>
      </c>
      <c r="Q71">
        <v>120.29</v>
      </c>
      <c r="R71">
        <v>175</v>
      </c>
      <c r="S71">
        <v>116025</v>
      </c>
      <c r="T71" t="str">
        <v>Yes</v>
      </c>
    </row>
    <row r="72" spans="3:20" x14ac:dyDescent="0.25">
      <c r="C72">
        <v>32137</v>
      </c>
      <c r="D72" t="str">
        <v>Ireland</v>
      </c>
      <c r="E72" t="str">
        <v>Amarilla</v>
      </c>
      <c r="F72">
        <v>1403</v>
      </c>
      <c r="G72">
        <v>260.47000000000003</v>
      </c>
      <c r="H72">
        <v>365</v>
      </c>
      <c r="I72">
        <v>512095</v>
      </c>
      <c r="J72" t="str">
        <v>Yes</v>
      </c>
      <c r="M72">
        <v>89136</v>
      </c>
      <c r="N72" t="str">
        <v>Ireland</v>
      </c>
      <c r="O72" t="str">
        <v>Montana</v>
      </c>
      <c r="P72">
        <v>2734</v>
      </c>
      <c r="Q72">
        <v>5.0599999999999996</v>
      </c>
      <c r="R72">
        <v>6</v>
      </c>
      <c r="S72">
        <v>16404</v>
      </c>
      <c r="T72" t="str">
        <v>No</v>
      </c>
    </row>
    <row r="73" spans="3:20" x14ac:dyDescent="0.25">
      <c r="C73">
        <v>56250</v>
      </c>
      <c r="D73" t="str">
        <v>Netherlands</v>
      </c>
      <c r="E73" t="str">
        <v>Amarilla</v>
      </c>
      <c r="F73">
        <v>1118</v>
      </c>
      <c r="G73">
        <v>260.91000000000003</v>
      </c>
      <c r="H73">
        <v>285</v>
      </c>
      <c r="I73">
        <v>318630</v>
      </c>
      <c r="J73" t="str">
        <v>No</v>
      </c>
      <c r="M73">
        <v>74413</v>
      </c>
      <c r="N73" t="str">
        <v>Ireland</v>
      </c>
      <c r="O73" t="str">
        <v>Paseo</v>
      </c>
      <c r="P73">
        <v>2261</v>
      </c>
      <c r="Q73">
        <v>10.77</v>
      </c>
      <c r="R73">
        <v>12</v>
      </c>
      <c r="S73">
        <v>27132</v>
      </c>
      <c r="T73" t="str">
        <v>No</v>
      </c>
    </row>
    <row r="74" spans="3:20" x14ac:dyDescent="0.25">
      <c r="C74">
        <v>11450</v>
      </c>
      <c r="D74" t="str">
        <v>France</v>
      </c>
      <c r="E74" t="str">
        <v>Amarilla</v>
      </c>
      <c r="F74">
        <v>941</v>
      </c>
      <c r="G74">
        <v>260.77999999999997</v>
      </c>
      <c r="H74">
        <v>347</v>
      </c>
      <c r="I74">
        <v>326527</v>
      </c>
      <c r="J74" t="str">
        <v>Yes</v>
      </c>
      <c r="M74">
        <v>30484</v>
      </c>
      <c r="N74" t="str">
        <v>Ireland</v>
      </c>
      <c r="O74" t="str">
        <v>Montana</v>
      </c>
      <c r="P74">
        <v>1282</v>
      </c>
      <c r="Q74">
        <v>5.45</v>
      </c>
      <c r="R74">
        <v>8</v>
      </c>
      <c r="S74">
        <v>10256</v>
      </c>
      <c r="T74" t="str">
        <v>No</v>
      </c>
    </row>
    <row r="75" spans="3:20" x14ac:dyDescent="0.25">
      <c r="C75">
        <v>41860</v>
      </c>
      <c r="D75" t="str">
        <v>Italy</v>
      </c>
      <c r="E75" t="str">
        <v>Amarilla</v>
      </c>
      <c r="F75">
        <v>2071</v>
      </c>
      <c r="G75">
        <v>260.08</v>
      </c>
      <c r="H75">
        <v>383</v>
      </c>
      <c r="I75">
        <v>793193</v>
      </c>
      <c r="J75" t="str">
        <v>No</v>
      </c>
      <c r="M75">
        <v>43511</v>
      </c>
      <c r="N75" t="str">
        <v>Ireland</v>
      </c>
      <c r="O75" t="str">
        <v>Montana</v>
      </c>
      <c r="P75">
        <v>1375</v>
      </c>
      <c r="Q75">
        <v>5.07</v>
      </c>
      <c r="R75">
        <v>6</v>
      </c>
      <c r="S75">
        <v>8250</v>
      </c>
      <c r="T75" t="str">
        <v>Yes</v>
      </c>
    </row>
    <row r="76" spans="3:20" x14ac:dyDescent="0.25">
      <c r="C76">
        <v>79389</v>
      </c>
      <c r="D76" t="str">
        <v>Italy</v>
      </c>
      <c r="E76" t="str">
        <v>Amarilla</v>
      </c>
      <c r="F76">
        <v>615</v>
      </c>
      <c r="G76">
        <v>260.74</v>
      </c>
      <c r="H76">
        <v>324</v>
      </c>
      <c r="I76">
        <v>199260</v>
      </c>
      <c r="J76" t="str">
        <v>No</v>
      </c>
      <c r="M76">
        <v>68821</v>
      </c>
      <c r="N76" t="str">
        <v>Ireland</v>
      </c>
      <c r="O76" t="str">
        <v>Velo</v>
      </c>
      <c r="P76">
        <v>2755</v>
      </c>
      <c r="Q76">
        <v>120.61</v>
      </c>
      <c r="R76">
        <v>152</v>
      </c>
      <c r="S76">
        <v>418760</v>
      </c>
      <c r="T76" t="str">
        <v>Yes</v>
      </c>
    </row>
    <row r="77" spans="3:20" x14ac:dyDescent="0.25">
      <c r="C77">
        <v>23817</v>
      </c>
      <c r="D77" t="str">
        <v>Italy</v>
      </c>
      <c r="E77" t="str">
        <v>Amarilla</v>
      </c>
      <c r="F77">
        <v>2141</v>
      </c>
      <c r="G77">
        <v>260.82</v>
      </c>
      <c r="H77">
        <v>337</v>
      </c>
      <c r="I77">
        <v>721517</v>
      </c>
      <c r="J77" t="str">
        <v>Yes</v>
      </c>
      <c r="M77">
        <v>87028</v>
      </c>
      <c r="N77" t="str">
        <v>Ireland</v>
      </c>
      <c r="O77" t="str">
        <v>Velo</v>
      </c>
      <c r="P77">
        <v>2338</v>
      </c>
      <c r="Q77">
        <v>120.52</v>
      </c>
      <c r="R77">
        <v>175</v>
      </c>
      <c r="S77">
        <v>409150</v>
      </c>
      <c r="T77" t="str">
        <v>No</v>
      </c>
    </row>
    <row r="78" spans="3:20" x14ac:dyDescent="0.25">
      <c r="C78">
        <v>53159</v>
      </c>
      <c r="D78" t="str">
        <v>Germany</v>
      </c>
      <c r="E78" t="str">
        <v>Amarilla</v>
      </c>
      <c r="F78">
        <v>994</v>
      </c>
      <c r="G78">
        <v>260.35000000000002</v>
      </c>
      <c r="H78">
        <v>344</v>
      </c>
      <c r="I78">
        <v>341936</v>
      </c>
      <c r="J78" t="str">
        <v>No</v>
      </c>
      <c r="M78">
        <v>87110</v>
      </c>
      <c r="N78" t="str">
        <v>Ireland</v>
      </c>
      <c r="O78" t="str">
        <v>Paseo</v>
      </c>
      <c r="P78">
        <v>2532</v>
      </c>
      <c r="Q78">
        <v>10.23</v>
      </c>
      <c r="R78">
        <v>16</v>
      </c>
      <c r="S78">
        <v>40512</v>
      </c>
      <c r="T78" t="str">
        <v>Yes</v>
      </c>
    </row>
    <row r="79" spans="3:20" x14ac:dyDescent="0.25">
      <c r="C79">
        <v>87513</v>
      </c>
      <c r="D79" t="str">
        <v>Ireland</v>
      </c>
      <c r="E79" t="str">
        <v>Amarilla</v>
      </c>
      <c r="F79">
        <v>2240</v>
      </c>
      <c r="G79">
        <v>260.45</v>
      </c>
      <c r="H79">
        <v>350</v>
      </c>
      <c r="I79">
        <v>784000</v>
      </c>
      <c r="J79" t="str">
        <v>Yes</v>
      </c>
      <c r="M79">
        <v>86096</v>
      </c>
      <c r="N79" t="str">
        <v>Ireland</v>
      </c>
      <c r="O79" t="str">
        <v>Paseo</v>
      </c>
      <c r="P79">
        <v>2851</v>
      </c>
      <c r="Q79">
        <v>10.02</v>
      </c>
      <c r="R79">
        <v>15</v>
      </c>
      <c r="S79">
        <v>42765</v>
      </c>
      <c r="T79" t="str">
        <v>Yes</v>
      </c>
    </row>
    <row r="80" spans="3:20" x14ac:dyDescent="0.25">
      <c r="C80">
        <v>28662</v>
      </c>
      <c r="D80" t="str">
        <v>Italy</v>
      </c>
      <c r="E80" t="str">
        <v>Amarilla</v>
      </c>
      <c r="F80">
        <v>727</v>
      </c>
      <c r="G80">
        <v>260.85000000000002</v>
      </c>
      <c r="H80">
        <v>282</v>
      </c>
      <c r="I80">
        <v>205014</v>
      </c>
      <c r="J80" t="str">
        <v>No</v>
      </c>
      <c r="M80">
        <v>45386</v>
      </c>
      <c r="N80" t="str">
        <v>Ireland</v>
      </c>
      <c r="O80" t="str">
        <v>Carretera</v>
      </c>
      <c r="P80">
        <v>1094</v>
      </c>
      <c r="Q80">
        <v>3.43</v>
      </c>
      <c r="R80">
        <v>5</v>
      </c>
      <c r="S80">
        <v>5470</v>
      </c>
      <c r="T80" t="str">
        <v>Yes</v>
      </c>
    </row>
    <row r="81" spans="3:20" x14ac:dyDescent="0.25">
      <c r="C81">
        <v>71831</v>
      </c>
      <c r="D81" t="str">
        <v>Germany</v>
      </c>
      <c r="E81" t="str">
        <v>Amarilla</v>
      </c>
      <c r="F81">
        <v>2276</v>
      </c>
      <c r="G81">
        <v>260.39</v>
      </c>
      <c r="H81">
        <v>357</v>
      </c>
      <c r="I81">
        <v>812532</v>
      </c>
      <c r="J81" t="str">
        <v>Yes</v>
      </c>
      <c r="M81">
        <v>16647</v>
      </c>
      <c r="N81" t="str">
        <v>Ireland</v>
      </c>
      <c r="O81" t="str">
        <v>Paseo</v>
      </c>
      <c r="P81">
        <v>766</v>
      </c>
      <c r="Q81">
        <v>10.51</v>
      </c>
      <c r="R81">
        <v>13</v>
      </c>
      <c r="S81">
        <v>9958</v>
      </c>
      <c r="T81" t="str">
        <v>Yes</v>
      </c>
    </row>
    <row r="82" spans="3:20" x14ac:dyDescent="0.25">
      <c r="C82">
        <v>18114</v>
      </c>
      <c r="D82" t="str">
        <v>Italy</v>
      </c>
      <c r="E82" t="str">
        <v>Amarilla</v>
      </c>
      <c r="F82">
        <v>3199</v>
      </c>
      <c r="G82">
        <v>260.85000000000002</v>
      </c>
      <c r="H82">
        <v>285</v>
      </c>
      <c r="I82">
        <v>911715</v>
      </c>
      <c r="J82" t="str">
        <v>Yes</v>
      </c>
      <c r="M82">
        <v>17414</v>
      </c>
      <c r="N82" t="str">
        <v>Ireland</v>
      </c>
      <c r="O82" t="str">
        <v>Carretera</v>
      </c>
      <c r="P82">
        <v>689</v>
      </c>
      <c r="Q82">
        <v>3.38</v>
      </c>
      <c r="R82">
        <v>4</v>
      </c>
      <c r="S82">
        <v>2756</v>
      </c>
      <c r="T82" t="str">
        <v>Yes</v>
      </c>
    </row>
    <row r="83" spans="3:20" x14ac:dyDescent="0.25">
      <c r="C83">
        <v>16538</v>
      </c>
      <c r="D83" t="str">
        <v>Ireland</v>
      </c>
      <c r="E83" t="str">
        <v>Amarilla</v>
      </c>
      <c r="F83">
        <v>1372</v>
      </c>
      <c r="G83">
        <v>260.05</v>
      </c>
      <c r="H83">
        <v>300</v>
      </c>
      <c r="I83">
        <v>411600</v>
      </c>
      <c r="J83" t="str">
        <v>No</v>
      </c>
      <c r="M83">
        <v>36095</v>
      </c>
      <c r="N83" t="str">
        <v>Ireland</v>
      </c>
      <c r="O83" t="str">
        <v>Paseo</v>
      </c>
      <c r="P83">
        <v>662</v>
      </c>
      <c r="Q83">
        <v>10.94</v>
      </c>
      <c r="R83">
        <v>15</v>
      </c>
      <c r="S83">
        <v>9930</v>
      </c>
      <c r="T83" t="str">
        <v>No</v>
      </c>
    </row>
    <row r="84" spans="3:20" x14ac:dyDescent="0.25">
      <c r="C84">
        <v>89186</v>
      </c>
      <c r="D84" t="str">
        <v>France</v>
      </c>
      <c r="E84" t="str">
        <v>Amarilla</v>
      </c>
      <c r="F84">
        <v>2475</v>
      </c>
      <c r="G84">
        <v>260.82</v>
      </c>
      <c r="H84">
        <v>269</v>
      </c>
      <c r="I84">
        <v>665775</v>
      </c>
      <c r="J84" t="str">
        <v>Yes</v>
      </c>
      <c r="M84">
        <v>30283</v>
      </c>
      <c r="N84" t="str">
        <v>Ireland</v>
      </c>
      <c r="O84" t="str">
        <v>VTT</v>
      </c>
      <c r="P84">
        <v>1945</v>
      </c>
      <c r="Q84">
        <v>250.71</v>
      </c>
      <c r="R84">
        <v>331</v>
      </c>
      <c r="S84">
        <v>643795</v>
      </c>
      <c r="T84" t="str">
        <v>No</v>
      </c>
    </row>
    <row r="85" spans="3:20" x14ac:dyDescent="0.25">
      <c r="C85">
        <v>64130</v>
      </c>
      <c r="D85" t="str">
        <v>Spain</v>
      </c>
      <c r="E85" t="str">
        <v>Amarilla</v>
      </c>
      <c r="F85">
        <v>2629</v>
      </c>
      <c r="G85">
        <v>260.38</v>
      </c>
      <c r="H85">
        <v>386</v>
      </c>
      <c r="I85">
        <v>1014794</v>
      </c>
      <c r="J85" t="str">
        <v>Yes</v>
      </c>
      <c r="M85">
        <v>74977</v>
      </c>
      <c r="N85" t="str">
        <v>Ireland</v>
      </c>
      <c r="O85" t="str">
        <v>Amarilla</v>
      </c>
      <c r="P85">
        <v>1659</v>
      </c>
      <c r="Q85">
        <v>260.27999999999997</v>
      </c>
      <c r="R85">
        <v>308</v>
      </c>
      <c r="S85">
        <v>510972</v>
      </c>
      <c r="T85" t="str">
        <v>Yes</v>
      </c>
    </row>
    <row r="86" spans="3:20" x14ac:dyDescent="0.25">
      <c r="C86">
        <v>76135</v>
      </c>
      <c r="D86" t="str">
        <v>Germany</v>
      </c>
      <c r="E86" t="str">
        <v>Amarilla</v>
      </c>
      <c r="F86">
        <v>1350</v>
      </c>
      <c r="G86">
        <v>260.57</v>
      </c>
      <c r="H86">
        <v>329</v>
      </c>
      <c r="I86">
        <v>444150</v>
      </c>
      <c r="J86" t="str">
        <v>No</v>
      </c>
      <c r="M86">
        <v>74936</v>
      </c>
      <c r="N86" t="str">
        <v>Ireland</v>
      </c>
      <c r="O86" t="str">
        <v>VTT</v>
      </c>
      <c r="P86">
        <v>1940</v>
      </c>
      <c r="Q86">
        <v>250.4</v>
      </c>
      <c r="R86">
        <v>336</v>
      </c>
      <c r="S86">
        <v>651840</v>
      </c>
      <c r="T86" t="str">
        <v>Yes</v>
      </c>
    </row>
    <row r="87" spans="3:20" x14ac:dyDescent="0.25">
      <c r="C87">
        <v>47986</v>
      </c>
      <c r="D87" t="str">
        <v>France</v>
      </c>
      <c r="E87" t="str">
        <v>Amarilla</v>
      </c>
      <c r="F87">
        <v>321</v>
      </c>
      <c r="G87">
        <v>260.81</v>
      </c>
      <c r="H87">
        <v>287</v>
      </c>
      <c r="I87">
        <v>92127</v>
      </c>
      <c r="J87" t="str">
        <v>Yes</v>
      </c>
      <c r="M87">
        <v>74184</v>
      </c>
      <c r="N87" t="str">
        <v>Ireland</v>
      </c>
      <c r="O87" t="str">
        <v>Paseo</v>
      </c>
      <c r="P87">
        <v>1084</v>
      </c>
      <c r="Q87">
        <v>10.41</v>
      </c>
      <c r="R87">
        <v>12</v>
      </c>
      <c r="S87">
        <v>13008</v>
      </c>
      <c r="T87" t="str">
        <v>Yes</v>
      </c>
    </row>
    <row r="88" spans="3:20" x14ac:dyDescent="0.25">
      <c r="C88">
        <v>70920</v>
      </c>
      <c r="D88" t="str">
        <v>Netherlands</v>
      </c>
      <c r="E88" t="str">
        <v>Amarilla</v>
      </c>
      <c r="F88">
        <v>1645</v>
      </c>
      <c r="G88">
        <v>260.02999999999997</v>
      </c>
      <c r="H88">
        <v>372</v>
      </c>
      <c r="I88">
        <v>611940</v>
      </c>
      <c r="J88" t="str">
        <v>Yes</v>
      </c>
      <c r="M88">
        <v>40522</v>
      </c>
      <c r="N88" t="str">
        <v>Ireland</v>
      </c>
      <c r="O88" t="str">
        <v>VTT</v>
      </c>
      <c r="P88">
        <v>570</v>
      </c>
      <c r="Q88">
        <v>250.03</v>
      </c>
      <c r="R88">
        <v>331</v>
      </c>
      <c r="S88">
        <v>188670</v>
      </c>
      <c r="T88" t="str">
        <v>Yes</v>
      </c>
    </row>
    <row r="89" spans="3:20" x14ac:dyDescent="0.25">
      <c r="C89">
        <v>60622</v>
      </c>
      <c r="D89" t="str">
        <v>Netherlands</v>
      </c>
      <c r="E89" t="str">
        <v>Amarilla</v>
      </c>
      <c r="F89">
        <v>888</v>
      </c>
      <c r="G89">
        <v>260.93</v>
      </c>
      <c r="H89">
        <v>348</v>
      </c>
      <c r="I89">
        <v>309024</v>
      </c>
      <c r="J89" t="str">
        <v>Yes</v>
      </c>
      <c r="M89">
        <v>52349</v>
      </c>
      <c r="N89" t="str">
        <v>Ireland</v>
      </c>
      <c r="O89" t="str">
        <v>Paseo</v>
      </c>
      <c r="P89">
        <v>2116</v>
      </c>
      <c r="Q89">
        <v>10.9</v>
      </c>
      <c r="R89">
        <v>14</v>
      </c>
      <c r="S89">
        <v>29624</v>
      </c>
      <c r="T89" t="str">
        <v>No</v>
      </c>
    </row>
    <row r="90" spans="3:20" x14ac:dyDescent="0.25">
      <c r="C90">
        <v>32859</v>
      </c>
      <c r="D90" t="str">
        <v>Ireland</v>
      </c>
      <c r="E90" t="str">
        <v>Amarilla</v>
      </c>
      <c r="F90">
        <v>1366</v>
      </c>
      <c r="G90">
        <v>260.81</v>
      </c>
      <c r="H90">
        <v>285</v>
      </c>
      <c r="I90">
        <v>389310</v>
      </c>
      <c r="J90" t="str">
        <v>No</v>
      </c>
      <c r="M90">
        <v>32137</v>
      </c>
      <c r="N90" t="str">
        <v>Ireland</v>
      </c>
      <c r="O90" t="str">
        <v>Amarilla</v>
      </c>
      <c r="P90">
        <v>1403</v>
      </c>
      <c r="Q90">
        <v>260.47000000000003</v>
      </c>
      <c r="R90">
        <v>365</v>
      </c>
      <c r="S90">
        <v>512095</v>
      </c>
      <c r="T90" t="str">
        <v>Yes</v>
      </c>
    </row>
    <row r="91" spans="3:20" x14ac:dyDescent="0.25">
      <c r="C91">
        <v>63544</v>
      </c>
      <c r="D91" t="str">
        <v>Germany</v>
      </c>
      <c r="E91" t="str">
        <v>Amarilla</v>
      </c>
      <c r="F91">
        <v>4219</v>
      </c>
      <c r="G91">
        <v>260.95999999999998</v>
      </c>
      <c r="H91">
        <v>387</v>
      </c>
      <c r="I91">
        <v>1632753</v>
      </c>
      <c r="J91" t="str">
        <v>Yes</v>
      </c>
      <c r="M91">
        <v>42904</v>
      </c>
      <c r="N91" t="str">
        <v>Ireland</v>
      </c>
      <c r="O91" t="str">
        <v>Paseo</v>
      </c>
      <c r="P91">
        <v>2074</v>
      </c>
      <c r="Q91">
        <v>10.9</v>
      </c>
      <c r="R91">
        <v>16</v>
      </c>
      <c r="S91">
        <v>33184</v>
      </c>
      <c r="T91" t="str">
        <v>Yes</v>
      </c>
    </row>
    <row r="92" spans="3:20" x14ac:dyDescent="0.25">
      <c r="C92">
        <v>17880</v>
      </c>
      <c r="D92" t="str">
        <v>France</v>
      </c>
      <c r="E92" t="str">
        <v>Amarilla</v>
      </c>
      <c r="F92">
        <v>1433</v>
      </c>
      <c r="G92">
        <v>260.81</v>
      </c>
      <c r="H92">
        <v>366</v>
      </c>
      <c r="I92">
        <v>524478</v>
      </c>
      <c r="J92" t="str">
        <v>No</v>
      </c>
      <c r="M92">
        <v>93396</v>
      </c>
      <c r="N92" t="str">
        <v>Ireland</v>
      </c>
      <c r="O92" t="str">
        <v>Paseo</v>
      </c>
      <c r="P92">
        <v>1925</v>
      </c>
      <c r="Q92">
        <v>10.71</v>
      </c>
      <c r="R92">
        <v>16</v>
      </c>
      <c r="S92">
        <v>30800</v>
      </c>
      <c r="T92" t="str">
        <v>Yes</v>
      </c>
    </row>
    <row r="93" spans="3:20" x14ac:dyDescent="0.25">
      <c r="C93">
        <v>37609</v>
      </c>
      <c r="D93" t="str">
        <v>Italy</v>
      </c>
      <c r="E93" t="str">
        <v>Amarilla</v>
      </c>
      <c r="F93">
        <v>1282</v>
      </c>
      <c r="G93">
        <v>260.8</v>
      </c>
      <c r="H93">
        <v>386</v>
      </c>
      <c r="I93">
        <v>494852</v>
      </c>
      <c r="J93" t="str">
        <v>No</v>
      </c>
      <c r="M93">
        <v>76952</v>
      </c>
      <c r="N93" t="str">
        <v>Ireland</v>
      </c>
      <c r="O93" t="str">
        <v>Montana</v>
      </c>
      <c r="P93">
        <v>980</v>
      </c>
      <c r="Q93">
        <v>5.72</v>
      </c>
      <c r="R93">
        <v>7</v>
      </c>
      <c r="S93">
        <v>6860</v>
      </c>
      <c r="T93" t="str">
        <v>No</v>
      </c>
    </row>
    <row r="94" spans="3:20" x14ac:dyDescent="0.25">
      <c r="C94">
        <v>76758</v>
      </c>
      <c r="D94" t="str">
        <v>Spain</v>
      </c>
      <c r="E94" t="str">
        <v>Amarilla</v>
      </c>
      <c r="F94">
        <v>1727</v>
      </c>
      <c r="G94">
        <v>260.56</v>
      </c>
      <c r="H94">
        <v>370</v>
      </c>
      <c r="I94">
        <v>638990</v>
      </c>
      <c r="J94" t="str">
        <v>Yes</v>
      </c>
      <c r="M94">
        <v>87513</v>
      </c>
      <c r="N94" t="str">
        <v>Ireland</v>
      </c>
      <c r="O94" t="str">
        <v>Amarilla</v>
      </c>
      <c r="P94">
        <v>2240</v>
      </c>
      <c r="Q94">
        <v>260.45</v>
      </c>
      <c r="R94">
        <v>350</v>
      </c>
      <c r="S94">
        <v>784000</v>
      </c>
      <c r="T94" t="str">
        <v>Yes</v>
      </c>
    </row>
    <row r="95" spans="3:20" x14ac:dyDescent="0.25">
      <c r="C95">
        <v>29399</v>
      </c>
      <c r="D95" t="str">
        <v>Italy</v>
      </c>
      <c r="E95" t="str">
        <v>Amarilla</v>
      </c>
      <c r="F95">
        <v>1989</v>
      </c>
      <c r="G95">
        <v>260.49</v>
      </c>
      <c r="H95">
        <v>383</v>
      </c>
      <c r="I95">
        <v>761787</v>
      </c>
      <c r="J95" t="str">
        <v>Yes</v>
      </c>
      <c r="M95">
        <v>37283</v>
      </c>
      <c r="N95" t="str">
        <v>Ireland</v>
      </c>
      <c r="O95" t="str">
        <v>Paseo</v>
      </c>
      <c r="P95">
        <v>2931</v>
      </c>
      <c r="Q95">
        <v>10.66</v>
      </c>
      <c r="R95">
        <v>13</v>
      </c>
      <c r="S95">
        <v>38103</v>
      </c>
      <c r="T95" t="str">
        <v>No</v>
      </c>
    </row>
    <row r="96" spans="3:20" x14ac:dyDescent="0.25">
      <c r="C96">
        <v>37083</v>
      </c>
      <c r="D96" t="str">
        <v>Spain</v>
      </c>
      <c r="E96" t="str">
        <v>Amarilla</v>
      </c>
      <c r="F96">
        <v>1683</v>
      </c>
      <c r="G96">
        <v>260.86</v>
      </c>
      <c r="H96">
        <v>355</v>
      </c>
      <c r="I96">
        <v>597465</v>
      </c>
      <c r="J96" t="str">
        <v>No</v>
      </c>
      <c r="M96">
        <v>12001</v>
      </c>
      <c r="N96" t="str">
        <v>Ireland</v>
      </c>
      <c r="O96" t="str">
        <v>VTT</v>
      </c>
      <c r="P96">
        <v>877</v>
      </c>
      <c r="Q96">
        <v>250.34</v>
      </c>
      <c r="R96">
        <v>343</v>
      </c>
      <c r="S96">
        <v>300811</v>
      </c>
      <c r="T96" t="str">
        <v>No</v>
      </c>
    </row>
    <row r="97" spans="3:20" x14ac:dyDescent="0.25">
      <c r="C97">
        <v>30825</v>
      </c>
      <c r="D97" t="str">
        <v>Germany</v>
      </c>
      <c r="E97" t="str">
        <v>Amarilla</v>
      </c>
      <c r="F97">
        <v>259</v>
      </c>
      <c r="G97">
        <v>260.16000000000003</v>
      </c>
      <c r="H97">
        <v>287</v>
      </c>
      <c r="I97">
        <v>74333</v>
      </c>
      <c r="J97" t="str">
        <v>No</v>
      </c>
      <c r="M97">
        <v>89732</v>
      </c>
      <c r="N97" t="str">
        <v>Ireland</v>
      </c>
      <c r="O97" t="str">
        <v>Montana</v>
      </c>
      <c r="P97">
        <v>2342</v>
      </c>
      <c r="Q97">
        <v>5.53</v>
      </c>
      <c r="R97">
        <v>6</v>
      </c>
      <c r="S97">
        <v>14052</v>
      </c>
      <c r="T97" t="str">
        <v>No</v>
      </c>
    </row>
    <row r="98" spans="3:20" x14ac:dyDescent="0.25">
      <c r="C98">
        <v>98163</v>
      </c>
      <c r="D98" t="str">
        <v>France</v>
      </c>
      <c r="E98" t="str">
        <v>Amarilla</v>
      </c>
      <c r="F98">
        <v>2475</v>
      </c>
      <c r="G98">
        <v>260.54000000000002</v>
      </c>
      <c r="H98">
        <v>357</v>
      </c>
      <c r="I98">
        <v>883575</v>
      </c>
      <c r="J98" t="str">
        <v>No</v>
      </c>
      <c r="M98">
        <v>12028</v>
      </c>
      <c r="N98" t="str">
        <v>Ireland</v>
      </c>
      <c r="O98" t="str">
        <v>Montana</v>
      </c>
      <c r="P98">
        <v>1100</v>
      </c>
      <c r="Q98">
        <v>5.51</v>
      </c>
      <c r="R98">
        <v>8</v>
      </c>
      <c r="S98">
        <v>8800</v>
      </c>
      <c r="T98" t="str">
        <v>Yes</v>
      </c>
    </row>
    <row r="99" spans="3:20" x14ac:dyDescent="0.25">
      <c r="C99">
        <v>82018</v>
      </c>
      <c r="D99" t="str">
        <v>Germany</v>
      </c>
      <c r="E99" t="str">
        <v>Carretera</v>
      </c>
      <c r="F99">
        <v>2767</v>
      </c>
      <c r="G99">
        <v>3.9</v>
      </c>
      <c r="H99">
        <v>6</v>
      </c>
      <c r="I99">
        <v>16602</v>
      </c>
      <c r="J99" t="str">
        <v>No</v>
      </c>
      <c r="M99">
        <v>16538</v>
      </c>
      <c r="N99" t="str">
        <v>Ireland</v>
      </c>
      <c r="O99" t="str">
        <v>Amarilla</v>
      </c>
      <c r="P99">
        <v>1372</v>
      </c>
      <c r="Q99">
        <v>260.05</v>
      </c>
      <c r="R99">
        <v>300</v>
      </c>
      <c r="S99">
        <v>411600</v>
      </c>
      <c r="T99" t="str">
        <v>No</v>
      </c>
    </row>
    <row r="100" spans="3:20" x14ac:dyDescent="0.25">
      <c r="C100">
        <v>40018</v>
      </c>
      <c r="D100" t="str">
        <v>France</v>
      </c>
      <c r="E100" t="str">
        <v>Carretera</v>
      </c>
      <c r="F100">
        <v>2145</v>
      </c>
      <c r="G100">
        <v>3.7</v>
      </c>
      <c r="H100">
        <v>5</v>
      </c>
      <c r="I100">
        <v>10725</v>
      </c>
      <c r="J100" t="str">
        <v>Yes</v>
      </c>
      <c r="M100">
        <v>45002</v>
      </c>
      <c r="N100" t="str">
        <v>Ireland</v>
      </c>
      <c r="O100" t="str">
        <v>Velo</v>
      </c>
      <c r="P100">
        <v>1579</v>
      </c>
      <c r="Q100">
        <v>120.95</v>
      </c>
      <c r="R100">
        <v>148</v>
      </c>
      <c r="S100">
        <v>233692</v>
      </c>
      <c r="T100" t="str">
        <v>No</v>
      </c>
    </row>
    <row r="101" spans="3:20" x14ac:dyDescent="0.25">
      <c r="C101">
        <v>61447</v>
      </c>
      <c r="D101" t="str">
        <v>Spain</v>
      </c>
      <c r="E101" t="str">
        <v>Carretera</v>
      </c>
      <c r="F101">
        <v>801</v>
      </c>
      <c r="G101">
        <v>3.52</v>
      </c>
      <c r="H101">
        <v>5</v>
      </c>
      <c r="I101">
        <v>4005</v>
      </c>
      <c r="J101" t="str">
        <v>No</v>
      </c>
      <c r="M101">
        <v>63822</v>
      </c>
      <c r="N101" t="str">
        <v>Ireland</v>
      </c>
      <c r="O101" t="str">
        <v>Paseo</v>
      </c>
      <c r="P101">
        <v>360</v>
      </c>
      <c r="Q101">
        <v>10.62</v>
      </c>
      <c r="R101">
        <v>12</v>
      </c>
      <c r="S101">
        <v>4320</v>
      </c>
      <c r="T101" t="str">
        <v>Yes</v>
      </c>
    </row>
    <row r="102" spans="3:20" x14ac:dyDescent="0.25">
      <c r="C102">
        <v>28574</v>
      </c>
      <c r="D102" t="str">
        <v>Ireland</v>
      </c>
      <c r="E102" t="str">
        <v>Carretera</v>
      </c>
      <c r="F102">
        <v>2521</v>
      </c>
      <c r="G102">
        <v>3.79</v>
      </c>
      <c r="H102">
        <v>6</v>
      </c>
      <c r="I102">
        <v>15126</v>
      </c>
      <c r="J102" t="str">
        <v>Yes</v>
      </c>
      <c r="M102">
        <v>58413</v>
      </c>
      <c r="N102" t="str">
        <v>Ireland</v>
      </c>
      <c r="O102" t="str">
        <v>Carretera</v>
      </c>
      <c r="P102">
        <v>1362</v>
      </c>
      <c r="Q102">
        <v>3.08</v>
      </c>
      <c r="R102">
        <v>5</v>
      </c>
      <c r="S102">
        <v>6810</v>
      </c>
      <c r="T102" t="str">
        <v>No</v>
      </c>
    </row>
    <row r="103" spans="3:20" x14ac:dyDescent="0.25">
      <c r="C103">
        <v>91512</v>
      </c>
      <c r="D103" t="str">
        <v>Spain</v>
      </c>
      <c r="E103" t="str">
        <v>Carretera</v>
      </c>
      <c r="F103">
        <v>1397</v>
      </c>
      <c r="G103">
        <v>3.04</v>
      </c>
      <c r="H103">
        <v>5</v>
      </c>
      <c r="I103">
        <v>6985</v>
      </c>
      <c r="J103" t="str">
        <v>No</v>
      </c>
      <c r="M103">
        <v>12366</v>
      </c>
      <c r="N103" t="str">
        <v>Ireland</v>
      </c>
      <c r="O103" t="str">
        <v>VTT</v>
      </c>
      <c r="P103">
        <v>662</v>
      </c>
      <c r="Q103">
        <v>250.12</v>
      </c>
      <c r="R103">
        <v>371</v>
      </c>
      <c r="S103">
        <v>245602</v>
      </c>
      <c r="T103" t="str">
        <v>No</v>
      </c>
    </row>
    <row r="104" spans="3:20" x14ac:dyDescent="0.25">
      <c r="C104">
        <v>79056</v>
      </c>
      <c r="D104" t="str">
        <v>Netherlands</v>
      </c>
      <c r="E104" t="str">
        <v>Carretera</v>
      </c>
      <c r="F104">
        <v>1560</v>
      </c>
      <c r="G104">
        <v>3.51</v>
      </c>
      <c r="H104">
        <v>6</v>
      </c>
      <c r="I104">
        <v>9360</v>
      </c>
      <c r="J104" t="str">
        <v>No</v>
      </c>
      <c r="M104">
        <v>26096</v>
      </c>
      <c r="N104" t="str">
        <v>Ireland</v>
      </c>
      <c r="O104" t="str">
        <v>Montana</v>
      </c>
      <c r="P104">
        <v>2321</v>
      </c>
      <c r="Q104">
        <v>5.35</v>
      </c>
      <c r="R104">
        <v>7</v>
      </c>
      <c r="S104">
        <v>16247</v>
      </c>
      <c r="T104" t="str">
        <v>Yes</v>
      </c>
    </row>
    <row r="105" spans="3:20" x14ac:dyDescent="0.25">
      <c r="C105">
        <v>89243</v>
      </c>
      <c r="D105" t="str">
        <v>Germany</v>
      </c>
      <c r="E105" t="str">
        <v>Carretera</v>
      </c>
      <c r="F105">
        <v>214</v>
      </c>
      <c r="G105">
        <v>3.01</v>
      </c>
      <c r="H105">
        <v>4</v>
      </c>
      <c r="I105">
        <v>856</v>
      </c>
      <c r="J105" t="str">
        <v>No</v>
      </c>
      <c r="M105">
        <v>40882</v>
      </c>
      <c r="N105" t="str">
        <v>Ireland</v>
      </c>
      <c r="O105" t="str">
        <v>Paseo</v>
      </c>
      <c r="P105">
        <v>2327</v>
      </c>
      <c r="Q105">
        <v>10.69</v>
      </c>
      <c r="R105">
        <v>14</v>
      </c>
      <c r="S105">
        <v>32578</v>
      </c>
      <c r="T105" t="str">
        <v>No</v>
      </c>
    </row>
    <row r="106" spans="3:20" x14ac:dyDescent="0.25">
      <c r="C106">
        <v>15750</v>
      </c>
      <c r="D106" t="str">
        <v>France</v>
      </c>
      <c r="E106" t="str">
        <v>Carretera</v>
      </c>
      <c r="F106">
        <v>4243</v>
      </c>
      <c r="G106">
        <v>3.35</v>
      </c>
      <c r="H106">
        <v>4</v>
      </c>
      <c r="I106">
        <v>16972</v>
      </c>
      <c r="J106" t="str">
        <v>No</v>
      </c>
      <c r="M106">
        <v>68930</v>
      </c>
      <c r="N106" t="str">
        <v>Ireland</v>
      </c>
      <c r="O106" t="str">
        <v>Montana</v>
      </c>
      <c r="P106">
        <v>2072</v>
      </c>
      <c r="Q106">
        <v>5.9</v>
      </c>
      <c r="R106">
        <v>9</v>
      </c>
      <c r="S106">
        <v>18648</v>
      </c>
      <c r="T106" t="str">
        <v>No</v>
      </c>
    </row>
    <row r="107" spans="3:20" x14ac:dyDescent="0.25">
      <c r="C107">
        <v>95876</v>
      </c>
      <c r="D107" t="str">
        <v>Italy</v>
      </c>
      <c r="E107" t="str">
        <v>Carretera</v>
      </c>
      <c r="F107">
        <v>1743</v>
      </c>
      <c r="G107">
        <v>3.24</v>
      </c>
      <c r="H107">
        <v>5</v>
      </c>
      <c r="I107">
        <v>8715</v>
      </c>
      <c r="J107" t="str">
        <v>Yes</v>
      </c>
      <c r="M107">
        <v>51914</v>
      </c>
      <c r="N107" t="str">
        <v>Ireland</v>
      </c>
      <c r="O107" t="str">
        <v>VTT</v>
      </c>
      <c r="P107">
        <v>727</v>
      </c>
      <c r="Q107">
        <v>250.77</v>
      </c>
      <c r="R107">
        <v>364</v>
      </c>
      <c r="S107">
        <v>264628</v>
      </c>
      <c r="T107" t="str">
        <v>Yes</v>
      </c>
    </row>
    <row r="108" spans="3:20" x14ac:dyDescent="0.25">
      <c r="C108">
        <v>29383</v>
      </c>
      <c r="D108" t="str">
        <v>Spain</v>
      </c>
      <c r="E108" t="str">
        <v>Carretera</v>
      </c>
      <c r="F108">
        <v>2156</v>
      </c>
      <c r="G108">
        <v>3.04</v>
      </c>
      <c r="H108">
        <v>4</v>
      </c>
      <c r="I108">
        <v>8624</v>
      </c>
      <c r="J108" t="str">
        <v>No</v>
      </c>
      <c r="M108">
        <v>97483</v>
      </c>
      <c r="N108" t="str">
        <v>Ireland</v>
      </c>
      <c r="O108" t="str">
        <v>Montana</v>
      </c>
      <c r="P108">
        <v>1460</v>
      </c>
      <c r="Q108">
        <v>5.38</v>
      </c>
      <c r="R108">
        <v>8</v>
      </c>
      <c r="S108">
        <v>11680</v>
      </c>
      <c r="T108" t="str">
        <v>Yes</v>
      </c>
    </row>
    <row r="109" spans="3:20" x14ac:dyDescent="0.25">
      <c r="C109">
        <v>18122</v>
      </c>
      <c r="D109" t="str">
        <v>Netherlands</v>
      </c>
      <c r="E109" t="str">
        <v>Carretera</v>
      </c>
      <c r="F109">
        <v>742</v>
      </c>
      <c r="G109">
        <v>3.19</v>
      </c>
      <c r="H109">
        <v>5</v>
      </c>
      <c r="I109">
        <v>3710</v>
      </c>
      <c r="J109" t="str">
        <v>Yes</v>
      </c>
      <c r="M109">
        <v>21634</v>
      </c>
      <c r="N109" t="str">
        <v>Ireland</v>
      </c>
      <c r="O109" t="str">
        <v>Velo</v>
      </c>
      <c r="P109">
        <v>2665</v>
      </c>
      <c r="Q109">
        <v>120.2</v>
      </c>
      <c r="R109">
        <v>127</v>
      </c>
      <c r="S109">
        <v>338455</v>
      </c>
      <c r="T109" t="str">
        <v>Yes</v>
      </c>
    </row>
    <row r="110" spans="3:20" x14ac:dyDescent="0.25">
      <c r="C110">
        <v>34186</v>
      </c>
      <c r="D110" t="str">
        <v>Italy</v>
      </c>
      <c r="E110" t="str">
        <v>Carretera</v>
      </c>
      <c r="F110">
        <v>2996</v>
      </c>
      <c r="G110">
        <v>3.42</v>
      </c>
      <c r="H110">
        <v>5</v>
      </c>
      <c r="I110">
        <v>14980</v>
      </c>
      <c r="J110" t="str">
        <v>Yes</v>
      </c>
      <c r="M110">
        <v>32859</v>
      </c>
      <c r="N110" t="str">
        <v>Ireland</v>
      </c>
      <c r="O110" t="str">
        <v>Amarilla</v>
      </c>
      <c r="P110">
        <v>1366</v>
      </c>
      <c r="Q110">
        <v>260.81</v>
      </c>
      <c r="R110">
        <v>285</v>
      </c>
      <c r="S110">
        <v>389310</v>
      </c>
      <c r="T110" t="str">
        <v>No</v>
      </c>
    </row>
    <row r="111" spans="3:20" x14ac:dyDescent="0.25">
      <c r="C111">
        <v>35823</v>
      </c>
      <c r="D111" t="str">
        <v>Germany</v>
      </c>
      <c r="E111" t="str">
        <v>Carretera</v>
      </c>
      <c r="F111">
        <v>792</v>
      </c>
      <c r="G111">
        <v>3.29</v>
      </c>
      <c r="H111">
        <v>5</v>
      </c>
      <c r="I111">
        <v>3960</v>
      </c>
      <c r="J111" t="str">
        <v>Yes</v>
      </c>
      <c r="M111">
        <v>62741</v>
      </c>
      <c r="N111" t="str">
        <v>Ireland</v>
      </c>
      <c r="O111" t="str">
        <v>Paseo</v>
      </c>
      <c r="P111">
        <v>1583</v>
      </c>
      <c r="Q111">
        <v>10.9</v>
      </c>
      <c r="R111">
        <v>15</v>
      </c>
      <c r="S111">
        <v>23745</v>
      </c>
      <c r="T111" t="str">
        <v>No</v>
      </c>
    </row>
    <row r="112" spans="3:20" x14ac:dyDescent="0.25">
      <c r="C112">
        <v>90806</v>
      </c>
      <c r="D112" t="str">
        <v>France</v>
      </c>
      <c r="E112" t="str">
        <v>Carretera</v>
      </c>
      <c r="F112">
        <v>2181</v>
      </c>
      <c r="G112">
        <v>3.3</v>
      </c>
      <c r="H112">
        <v>5</v>
      </c>
      <c r="I112">
        <v>10905</v>
      </c>
      <c r="J112" t="str">
        <v>Yes</v>
      </c>
      <c r="M112">
        <v>11851</v>
      </c>
      <c r="N112" t="str">
        <v>Ireland</v>
      </c>
      <c r="O112" t="str">
        <v>VTT</v>
      </c>
      <c r="P112">
        <v>1265</v>
      </c>
      <c r="Q112">
        <v>250.82</v>
      </c>
      <c r="R112">
        <v>372</v>
      </c>
      <c r="S112">
        <v>470580</v>
      </c>
      <c r="T112" t="str">
        <v>No</v>
      </c>
    </row>
    <row r="113" spans="3:20" x14ac:dyDescent="0.25">
      <c r="C113">
        <v>26521</v>
      </c>
      <c r="D113" t="str">
        <v>Ireland</v>
      </c>
      <c r="E113" t="str">
        <v>Carretera</v>
      </c>
      <c r="F113">
        <v>991</v>
      </c>
      <c r="G113">
        <v>3.46</v>
      </c>
      <c r="H113">
        <v>4</v>
      </c>
      <c r="I113">
        <v>3964</v>
      </c>
      <c r="J113" t="str">
        <v>No</v>
      </c>
      <c r="M113">
        <v>94979</v>
      </c>
      <c r="N113" t="str">
        <v>Ireland</v>
      </c>
      <c r="O113" t="str">
        <v>Paseo</v>
      </c>
      <c r="P113">
        <v>2145</v>
      </c>
      <c r="Q113">
        <v>10.130000000000001</v>
      </c>
      <c r="R113">
        <v>14</v>
      </c>
      <c r="S113">
        <v>30030</v>
      </c>
      <c r="T113" t="str">
        <v>Yes</v>
      </c>
    </row>
    <row r="114" spans="3:20" x14ac:dyDescent="0.25">
      <c r="C114">
        <v>15418</v>
      </c>
      <c r="D114" t="str">
        <v>France</v>
      </c>
      <c r="E114" t="str">
        <v>Carretera</v>
      </c>
      <c r="F114">
        <v>490</v>
      </c>
      <c r="G114">
        <v>3.75</v>
      </c>
      <c r="H114">
        <v>6</v>
      </c>
      <c r="I114">
        <v>2940</v>
      </c>
      <c r="J114" t="str">
        <v>No</v>
      </c>
      <c r="M114">
        <v>88024</v>
      </c>
      <c r="N114" t="str">
        <v>Ireland</v>
      </c>
      <c r="O114" t="str">
        <v>VTT</v>
      </c>
      <c r="P114">
        <v>2954</v>
      </c>
      <c r="Q114">
        <v>250.53</v>
      </c>
      <c r="R114">
        <v>309</v>
      </c>
      <c r="S114">
        <v>912786</v>
      </c>
      <c r="T114" t="str">
        <v>Yes</v>
      </c>
    </row>
    <row r="115" spans="3:20" x14ac:dyDescent="0.25">
      <c r="C115">
        <v>14619</v>
      </c>
      <c r="D115" t="str">
        <v>Italy</v>
      </c>
      <c r="E115" t="str">
        <v>Carretera</v>
      </c>
      <c r="F115">
        <v>2030</v>
      </c>
      <c r="G115">
        <v>3.43</v>
      </c>
      <c r="H115">
        <v>5</v>
      </c>
      <c r="I115">
        <v>10150</v>
      </c>
      <c r="J115" t="str">
        <v>No</v>
      </c>
      <c r="M115">
        <v>69531</v>
      </c>
      <c r="N115" t="str">
        <v>Ireland</v>
      </c>
      <c r="O115" t="str">
        <v>Paseo</v>
      </c>
      <c r="P115">
        <v>1934</v>
      </c>
      <c r="Q115">
        <v>10.82</v>
      </c>
      <c r="R115">
        <v>15</v>
      </c>
      <c r="S115">
        <v>29010</v>
      </c>
      <c r="T115" t="str">
        <v>Yes</v>
      </c>
    </row>
    <row r="116" spans="3:20" x14ac:dyDescent="0.25">
      <c r="C116">
        <v>64829</v>
      </c>
      <c r="D116" t="str">
        <v>France</v>
      </c>
      <c r="E116" t="str">
        <v>Carretera</v>
      </c>
      <c r="F116">
        <v>2487</v>
      </c>
      <c r="G116">
        <v>3.89</v>
      </c>
      <c r="H116">
        <v>6</v>
      </c>
      <c r="I116">
        <v>14922</v>
      </c>
      <c r="J116" t="str">
        <v>No</v>
      </c>
      <c r="M116">
        <v>86862</v>
      </c>
      <c r="N116" t="str">
        <v>Ireland</v>
      </c>
      <c r="O116" t="str">
        <v>Carretera</v>
      </c>
      <c r="P116">
        <v>819</v>
      </c>
      <c r="Q116">
        <v>3.3</v>
      </c>
      <c r="R116">
        <v>5</v>
      </c>
      <c r="S116">
        <v>4095</v>
      </c>
      <c r="T116" t="str">
        <v>No</v>
      </c>
    </row>
    <row r="117" spans="3:20" x14ac:dyDescent="0.25">
      <c r="C117">
        <v>98981</v>
      </c>
      <c r="D117" t="str">
        <v>Ireland</v>
      </c>
      <c r="E117" t="str">
        <v>Carretera</v>
      </c>
      <c r="F117">
        <v>1198</v>
      </c>
      <c r="G117">
        <v>3.16</v>
      </c>
      <c r="H117">
        <v>5</v>
      </c>
      <c r="I117">
        <v>5990</v>
      </c>
      <c r="J117" t="str">
        <v>Yes</v>
      </c>
    </row>
    <row r="118" spans="3:20" x14ac:dyDescent="0.25">
      <c r="C118">
        <v>21885</v>
      </c>
      <c r="D118" t="str">
        <v>Spain</v>
      </c>
      <c r="E118" t="str">
        <v>Carretera</v>
      </c>
      <c r="F118">
        <v>494</v>
      </c>
      <c r="G118">
        <v>3.8</v>
      </c>
      <c r="H118">
        <v>5</v>
      </c>
      <c r="I118">
        <v>2470</v>
      </c>
      <c r="J118" t="str">
        <v>No</v>
      </c>
    </row>
    <row r="119" spans="3:20" x14ac:dyDescent="0.25">
      <c r="C119">
        <v>88127</v>
      </c>
      <c r="D119" t="str">
        <v>Germany</v>
      </c>
      <c r="E119" t="str">
        <v>Carretera</v>
      </c>
      <c r="F119">
        <v>887</v>
      </c>
      <c r="G119">
        <v>3.2800000000000002</v>
      </c>
      <c r="H119">
        <v>5</v>
      </c>
      <c r="I119">
        <v>4435</v>
      </c>
      <c r="J119" t="str">
        <v>No</v>
      </c>
    </row>
    <row r="120" spans="3:20" x14ac:dyDescent="0.25">
      <c r="C120">
        <v>57071</v>
      </c>
      <c r="D120" t="str">
        <v>Netherlands</v>
      </c>
      <c r="E120" t="str">
        <v>Carretera</v>
      </c>
      <c r="F120">
        <v>2844</v>
      </c>
      <c r="G120">
        <v>3.25</v>
      </c>
      <c r="H120">
        <v>5</v>
      </c>
      <c r="I120">
        <v>14220</v>
      </c>
      <c r="J120" t="str">
        <v>Yes</v>
      </c>
    </row>
    <row r="121" spans="3:20" x14ac:dyDescent="0.25">
      <c r="C121">
        <v>96750</v>
      </c>
      <c r="D121" t="str">
        <v>France</v>
      </c>
      <c r="E121" t="str">
        <v>Carretera</v>
      </c>
      <c r="F121">
        <v>2671</v>
      </c>
      <c r="G121">
        <v>3.99</v>
      </c>
      <c r="H121">
        <v>6</v>
      </c>
      <c r="I121">
        <v>16026</v>
      </c>
      <c r="J121" t="str">
        <v>Yes</v>
      </c>
    </row>
    <row r="122" spans="3:20" x14ac:dyDescent="0.25">
      <c r="C122">
        <v>88864</v>
      </c>
      <c r="D122" t="str">
        <v>Germany</v>
      </c>
      <c r="E122" t="str">
        <v>Carretera</v>
      </c>
      <c r="F122">
        <v>1618</v>
      </c>
      <c r="G122">
        <v>3.57</v>
      </c>
      <c r="H122">
        <v>6</v>
      </c>
      <c r="I122">
        <v>9708</v>
      </c>
      <c r="J122" t="str">
        <v>No</v>
      </c>
    </row>
    <row r="123" spans="3:20" x14ac:dyDescent="0.25">
      <c r="C123">
        <v>55665</v>
      </c>
      <c r="D123" t="str">
        <v>Germany</v>
      </c>
      <c r="E123" t="str">
        <v>Carretera</v>
      </c>
      <c r="F123">
        <v>1116</v>
      </c>
      <c r="G123">
        <v>3.82</v>
      </c>
      <c r="H123">
        <v>6</v>
      </c>
      <c r="I123">
        <v>6696</v>
      </c>
      <c r="J123" t="str">
        <v>No</v>
      </c>
    </row>
    <row r="124" spans="3:20" x14ac:dyDescent="0.25">
      <c r="C124">
        <v>42597</v>
      </c>
      <c r="D124" t="str">
        <v>Netherlands</v>
      </c>
      <c r="E124" t="str">
        <v>Carretera</v>
      </c>
      <c r="F124">
        <v>923</v>
      </c>
      <c r="G124">
        <v>3.84</v>
      </c>
      <c r="H124">
        <v>5</v>
      </c>
      <c r="I124">
        <v>4615</v>
      </c>
      <c r="J124" t="str">
        <v>Yes</v>
      </c>
    </row>
    <row r="125" spans="3:20" x14ac:dyDescent="0.25">
      <c r="C125">
        <v>90435</v>
      </c>
      <c r="D125" t="str">
        <v>Germany</v>
      </c>
      <c r="E125" t="str">
        <v>Carretera</v>
      </c>
      <c r="F125">
        <v>2300</v>
      </c>
      <c r="G125">
        <v>3.93</v>
      </c>
      <c r="H125">
        <v>6</v>
      </c>
      <c r="I125">
        <v>13800</v>
      </c>
      <c r="J125" t="str">
        <v>Yes</v>
      </c>
    </row>
    <row r="126" spans="3:20" x14ac:dyDescent="0.25">
      <c r="C126">
        <v>42111</v>
      </c>
      <c r="D126" t="str">
        <v>Germany</v>
      </c>
      <c r="E126" t="str">
        <v>Carretera</v>
      </c>
      <c r="F126">
        <v>1085</v>
      </c>
      <c r="G126">
        <v>3.06</v>
      </c>
      <c r="H126">
        <v>5</v>
      </c>
      <c r="I126">
        <v>5425</v>
      </c>
      <c r="J126" t="str">
        <v>No</v>
      </c>
    </row>
    <row r="127" spans="3:20" x14ac:dyDescent="0.25">
      <c r="C127">
        <v>28077</v>
      </c>
      <c r="D127" t="str">
        <v>Italy</v>
      </c>
      <c r="E127" t="str">
        <v>Carretera</v>
      </c>
      <c r="F127">
        <v>1010</v>
      </c>
      <c r="G127">
        <v>3.05</v>
      </c>
      <c r="H127">
        <v>4</v>
      </c>
      <c r="I127">
        <v>4040</v>
      </c>
      <c r="J127" t="str">
        <v>Yes</v>
      </c>
    </row>
    <row r="128" spans="3:20" x14ac:dyDescent="0.25">
      <c r="C128">
        <v>59564</v>
      </c>
      <c r="D128" t="str">
        <v>Spain</v>
      </c>
      <c r="E128" t="str">
        <v>Carretera</v>
      </c>
      <c r="F128">
        <v>562</v>
      </c>
      <c r="G128">
        <v>3.79</v>
      </c>
      <c r="H128">
        <v>5</v>
      </c>
      <c r="I128">
        <v>2810</v>
      </c>
      <c r="J128" t="str">
        <v>No</v>
      </c>
    </row>
    <row r="129" spans="3:10" x14ac:dyDescent="0.25">
      <c r="C129">
        <v>14689</v>
      </c>
      <c r="D129" t="str">
        <v>Germany</v>
      </c>
      <c r="E129" t="str">
        <v>Carretera</v>
      </c>
      <c r="F129">
        <v>766</v>
      </c>
      <c r="G129">
        <v>3.11</v>
      </c>
      <c r="H129">
        <v>5</v>
      </c>
      <c r="I129">
        <v>3830</v>
      </c>
      <c r="J129" t="str">
        <v>Yes</v>
      </c>
    </row>
    <row r="130" spans="3:10" x14ac:dyDescent="0.25">
      <c r="C130">
        <v>96276</v>
      </c>
      <c r="D130" t="str">
        <v>France</v>
      </c>
      <c r="E130" t="str">
        <v>Carretera</v>
      </c>
      <c r="F130">
        <v>2441</v>
      </c>
      <c r="G130">
        <v>3.25</v>
      </c>
      <c r="H130">
        <v>5</v>
      </c>
      <c r="I130">
        <v>12205</v>
      </c>
      <c r="J130" t="str">
        <v>No</v>
      </c>
    </row>
    <row r="131" spans="3:10" x14ac:dyDescent="0.25">
      <c r="C131">
        <v>37779</v>
      </c>
      <c r="D131" t="str">
        <v>France</v>
      </c>
      <c r="E131" t="str">
        <v>Carretera</v>
      </c>
      <c r="F131">
        <v>2178</v>
      </c>
      <c r="G131">
        <v>3.12</v>
      </c>
      <c r="H131">
        <v>4</v>
      </c>
      <c r="I131">
        <v>8712</v>
      </c>
      <c r="J131" t="str">
        <v>No</v>
      </c>
    </row>
    <row r="132" spans="3:10" x14ac:dyDescent="0.25">
      <c r="C132">
        <v>17233</v>
      </c>
      <c r="D132" t="str">
        <v>France</v>
      </c>
      <c r="E132" t="str">
        <v>Carretera</v>
      </c>
      <c r="F132">
        <v>886</v>
      </c>
      <c r="G132">
        <v>3.31</v>
      </c>
      <c r="H132">
        <v>4</v>
      </c>
      <c r="I132">
        <v>3544</v>
      </c>
      <c r="J132" t="str">
        <v>No</v>
      </c>
    </row>
    <row r="133" spans="3:10" x14ac:dyDescent="0.25">
      <c r="C133">
        <v>43820</v>
      </c>
      <c r="D133" t="str">
        <v>France</v>
      </c>
      <c r="E133" t="str">
        <v>Carretera</v>
      </c>
      <c r="F133">
        <v>448</v>
      </c>
      <c r="G133">
        <v>3.09</v>
      </c>
      <c r="H133">
        <v>5</v>
      </c>
      <c r="I133">
        <v>2240</v>
      </c>
      <c r="J133" t="str">
        <v>No</v>
      </c>
    </row>
    <row r="134" spans="3:10" x14ac:dyDescent="0.25">
      <c r="C134">
        <v>88319</v>
      </c>
      <c r="D134" t="str">
        <v>Spain</v>
      </c>
      <c r="E134" t="str">
        <v>Carretera</v>
      </c>
      <c r="F134">
        <v>521</v>
      </c>
      <c r="G134">
        <v>3.69</v>
      </c>
      <c r="H134">
        <v>6</v>
      </c>
      <c r="I134">
        <v>3126</v>
      </c>
      <c r="J134" t="str">
        <v>Yes</v>
      </c>
    </row>
    <row r="135" spans="3:10" x14ac:dyDescent="0.25">
      <c r="C135">
        <v>73641</v>
      </c>
      <c r="D135" t="str">
        <v>Netherlands</v>
      </c>
      <c r="E135" t="str">
        <v>Carretera</v>
      </c>
      <c r="F135">
        <v>1937</v>
      </c>
      <c r="G135">
        <v>3.71</v>
      </c>
      <c r="H135">
        <v>5</v>
      </c>
      <c r="I135">
        <v>9685</v>
      </c>
      <c r="J135" t="str">
        <v>Yes</v>
      </c>
    </row>
    <row r="136" spans="3:10" x14ac:dyDescent="0.25">
      <c r="C136">
        <v>40315</v>
      </c>
      <c r="D136" t="str">
        <v>Ireland</v>
      </c>
      <c r="E136" t="str">
        <v>Carretera</v>
      </c>
      <c r="F136">
        <v>2851</v>
      </c>
      <c r="G136">
        <v>3.33</v>
      </c>
      <c r="H136">
        <v>5</v>
      </c>
      <c r="I136">
        <v>14255</v>
      </c>
      <c r="J136" t="str">
        <v>Yes</v>
      </c>
    </row>
    <row r="137" spans="3:10" x14ac:dyDescent="0.25">
      <c r="C137">
        <v>78166</v>
      </c>
      <c r="D137" t="str">
        <v>Ireland</v>
      </c>
      <c r="E137" t="str">
        <v>Carretera</v>
      </c>
      <c r="F137">
        <v>1482</v>
      </c>
      <c r="G137">
        <v>3.68</v>
      </c>
      <c r="H137">
        <v>5</v>
      </c>
      <c r="I137">
        <v>7410</v>
      </c>
      <c r="J137" t="str">
        <v>No</v>
      </c>
    </row>
    <row r="138" spans="3:10" x14ac:dyDescent="0.25">
      <c r="C138">
        <v>89163</v>
      </c>
      <c r="D138" t="str">
        <v>Spain</v>
      </c>
      <c r="E138" t="str">
        <v>Carretera</v>
      </c>
      <c r="F138">
        <v>2821</v>
      </c>
      <c r="G138">
        <v>3.37</v>
      </c>
      <c r="H138">
        <v>4</v>
      </c>
      <c r="I138">
        <v>11284</v>
      </c>
      <c r="J138" t="str">
        <v>Yes</v>
      </c>
    </row>
    <row r="139" spans="3:10" x14ac:dyDescent="0.25">
      <c r="C139">
        <v>56943</v>
      </c>
      <c r="D139" t="str">
        <v>Ireland</v>
      </c>
      <c r="E139" t="str">
        <v>Carretera</v>
      </c>
      <c r="F139">
        <v>1884</v>
      </c>
      <c r="G139">
        <v>3.9699999999999998</v>
      </c>
      <c r="H139">
        <v>6</v>
      </c>
      <c r="I139">
        <v>11304</v>
      </c>
      <c r="J139" t="str">
        <v>Yes</v>
      </c>
    </row>
    <row r="140" spans="3:10" x14ac:dyDescent="0.25">
      <c r="C140">
        <v>17136</v>
      </c>
      <c r="D140" t="str">
        <v>Italy</v>
      </c>
      <c r="E140" t="str">
        <v>Carretera</v>
      </c>
      <c r="F140">
        <v>1117</v>
      </c>
      <c r="G140">
        <v>3.79</v>
      </c>
      <c r="H140">
        <v>6</v>
      </c>
      <c r="I140">
        <v>6702</v>
      </c>
      <c r="J140" t="str">
        <v>No</v>
      </c>
    </row>
    <row r="141" spans="3:10" x14ac:dyDescent="0.25">
      <c r="C141">
        <v>69219</v>
      </c>
      <c r="D141" t="str">
        <v>Germany</v>
      </c>
      <c r="E141" t="str">
        <v>Carretera</v>
      </c>
      <c r="F141">
        <v>280</v>
      </c>
      <c r="G141">
        <v>3.09</v>
      </c>
      <c r="H141">
        <v>5</v>
      </c>
      <c r="I141">
        <v>1400</v>
      </c>
      <c r="J141" t="str">
        <v>No</v>
      </c>
    </row>
    <row r="142" spans="3:10" x14ac:dyDescent="0.25">
      <c r="C142">
        <v>70012</v>
      </c>
      <c r="D142" t="str">
        <v>Netherlands</v>
      </c>
      <c r="E142" t="str">
        <v>Carretera</v>
      </c>
      <c r="F142">
        <v>2852</v>
      </c>
      <c r="G142">
        <v>3.8</v>
      </c>
      <c r="H142">
        <v>6</v>
      </c>
      <c r="I142">
        <v>17112</v>
      </c>
      <c r="J142" t="str">
        <v>Yes</v>
      </c>
    </row>
    <row r="143" spans="3:10" x14ac:dyDescent="0.25">
      <c r="C143">
        <v>37140</v>
      </c>
      <c r="D143" t="str">
        <v>Ireland</v>
      </c>
      <c r="E143" t="str">
        <v>Carretera</v>
      </c>
      <c r="F143">
        <v>1580</v>
      </c>
      <c r="G143">
        <v>3.2</v>
      </c>
      <c r="H143">
        <v>4</v>
      </c>
      <c r="I143">
        <v>6320</v>
      </c>
      <c r="J143" t="str">
        <v>No</v>
      </c>
    </row>
    <row r="144" spans="3:10" x14ac:dyDescent="0.25">
      <c r="C144">
        <v>99206</v>
      </c>
      <c r="D144" t="str">
        <v>Netherlands</v>
      </c>
      <c r="E144" t="str">
        <v>Carretera</v>
      </c>
      <c r="F144">
        <v>908</v>
      </c>
      <c r="G144">
        <v>3.37</v>
      </c>
      <c r="H144">
        <v>5</v>
      </c>
      <c r="I144">
        <v>4540</v>
      </c>
      <c r="J144" t="str">
        <v>No</v>
      </c>
    </row>
    <row r="145" spans="3:10" x14ac:dyDescent="0.25">
      <c r="C145">
        <v>76683</v>
      </c>
      <c r="D145" t="str">
        <v>Germany</v>
      </c>
      <c r="E145" t="str">
        <v>Carretera</v>
      </c>
      <c r="F145">
        <v>1513</v>
      </c>
      <c r="G145">
        <v>3.31</v>
      </c>
      <c r="H145">
        <v>5</v>
      </c>
      <c r="I145">
        <v>7565</v>
      </c>
      <c r="J145" t="str">
        <v>No</v>
      </c>
    </row>
    <row r="146" spans="3:10" x14ac:dyDescent="0.25">
      <c r="C146">
        <v>73642</v>
      </c>
      <c r="D146" t="str">
        <v>Netherlands</v>
      </c>
      <c r="E146" t="str">
        <v>Carretera</v>
      </c>
      <c r="F146">
        <v>2299</v>
      </c>
      <c r="G146">
        <v>3.81</v>
      </c>
      <c r="H146">
        <v>6</v>
      </c>
      <c r="I146">
        <v>13794</v>
      </c>
      <c r="J146" t="str">
        <v>Yes</v>
      </c>
    </row>
    <row r="147" spans="3:10" x14ac:dyDescent="0.25">
      <c r="C147">
        <v>97775</v>
      </c>
      <c r="D147" t="str">
        <v>Italy</v>
      </c>
      <c r="E147" t="str">
        <v>Carretera</v>
      </c>
      <c r="F147">
        <v>2567</v>
      </c>
      <c r="G147">
        <v>3.54</v>
      </c>
      <c r="H147">
        <v>6</v>
      </c>
      <c r="I147">
        <v>15402</v>
      </c>
      <c r="J147" t="str">
        <v>No</v>
      </c>
    </row>
    <row r="148" spans="3:10" x14ac:dyDescent="0.25">
      <c r="C148">
        <v>49640</v>
      </c>
      <c r="D148" t="str">
        <v>Italy</v>
      </c>
      <c r="E148" t="str">
        <v>Carretera</v>
      </c>
      <c r="F148">
        <v>1947</v>
      </c>
      <c r="G148">
        <v>3.75</v>
      </c>
      <c r="H148">
        <v>5</v>
      </c>
      <c r="I148">
        <v>9735</v>
      </c>
      <c r="J148" t="str">
        <v>No</v>
      </c>
    </row>
    <row r="149" spans="3:10" x14ac:dyDescent="0.25">
      <c r="C149">
        <v>43905</v>
      </c>
      <c r="D149" t="str">
        <v>France</v>
      </c>
      <c r="E149" t="str">
        <v>Carretera</v>
      </c>
      <c r="F149">
        <v>1174</v>
      </c>
      <c r="G149">
        <v>3.51</v>
      </c>
      <c r="H149">
        <v>4</v>
      </c>
      <c r="I149">
        <v>4696</v>
      </c>
      <c r="J149" t="str">
        <v>No</v>
      </c>
    </row>
    <row r="150" spans="3:10" x14ac:dyDescent="0.25">
      <c r="C150">
        <v>63545</v>
      </c>
      <c r="D150" t="str">
        <v>Ireland</v>
      </c>
      <c r="E150" t="str">
        <v>Carretera</v>
      </c>
      <c r="F150">
        <v>3445</v>
      </c>
      <c r="G150">
        <v>3.73</v>
      </c>
      <c r="H150">
        <v>5</v>
      </c>
      <c r="I150">
        <v>17225</v>
      </c>
      <c r="J150" t="str">
        <v>Yes</v>
      </c>
    </row>
    <row r="151" spans="3:10" x14ac:dyDescent="0.25">
      <c r="C151">
        <v>32242</v>
      </c>
      <c r="D151" t="str">
        <v>Italy</v>
      </c>
      <c r="E151" t="str">
        <v>Carretera</v>
      </c>
      <c r="F151">
        <v>1858</v>
      </c>
      <c r="G151">
        <v>3.59</v>
      </c>
      <c r="H151">
        <v>6</v>
      </c>
      <c r="I151">
        <v>11148</v>
      </c>
      <c r="J151" t="str">
        <v>No</v>
      </c>
    </row>
    <row r="152" spans="3:10" x14ac:dyDescent="0.25">
      <c r="C152">
        <v>52473</v>
      </c>
      <c r="D152" t="str">
        <v>Germany</v>
      </c>
      <c r="E152" t="str">
        <v>Carretera</v>
      </c>
      <c r="F152">
        <v>1513</v>
      </c>
      <c r="G152">
        <v>3.74</v>
      </c>
      <c r="H152">
        <v>5</v>
      </c>
      <c r="I152">
        <v>7565</v>
      </c>
      <c r="J152" t="str">
        <v>Yes</v>
      </c>
    </row>
    <row r="153" spans="3:10" x14ac:dyDescent="0.25">
      <c r="C153">
        <v>48340</v>
      </c>
      <c r="D153" t="str">
        <v>Germany</v>
      </c>
      <c r="E153" t="str">
        <v>Carretera</v>
      </c>
      <c r="F153">
        <v>2811</v>
      </c>
      <c r="G153">
        <v>3.3</v>
      </c>
      <c r="H153">
        <v>5</v>
      </c>
      <c r="I153">
        <v>14055</v>
      </c>
      <c r="J153" t="str">
        <v>Yes</v>
      </c>
    </row>
    <row r="154" spans="3:10" x14ac:dyDescent="0.25">
      <c r="C154">
        <v>20732</v>
      </c>
      <c r="D154" t="str">
        <v>France</v>
      </c>
      <c r="E154" t="str">
        <v>Carretera</v>
      </c>
      <c r="F154">
        <v>1790</v>
      </c>
      <c r="G154">
        <v>3.6</v>
      </c>
      <c r="H154">
        <v>4</v>
      </c>
      <c r="I154">
        <v>7160</v>
      </c>
      <c r="J154" t="str">
        <v>Yes</v>
      </c>
    </row>
    <row r="155" spans="3:10" x14ac:dyDescent="0.25">
      <c r="C155">
        <v>90536</v>
      </c>
      <c r="D155" t="str">
        <v>Spain</v>
      </c>
      <c r="E155" t="str">
        <v>Carretera</v>
      </c>
      <c r="F155">
        <v>1834</v>
      </c>
      <c r="G155">
        <v>3.36</v>
      </c>
      <c r="H155">
        <v>5</v>
      </c>
      <c r="I155">
        <v>9170</v>
      </c>
      <c r="J155" t="str">
        <v>No</v>
      </c>
    </row>
    <row r="156" spans="3:10" x14ac:dyDescent="0.25">
      <c r="C156">
        <v>85015</v>
      </c>
      <c r="D156" t="str">
        <v>Spain</v>
      </c>
      <c r="E156" t="str">
        <v>Carretera</v>
      </c>
      <c r="F156">
        <v>2579</v>
      </c>
      <c r="G156">
        <v>3.62</v>
      </c>
      <c r="H156">
        <v>5</v>
      </c>
      <c r="I156">
        <v>12895</v>
      </c>
      <c r="J156" t="str">
        <v>No</v>
      </c>
    </row>
    <row r="157" spans="3:10" x14ac:dyDescent="0.25">
      <c r="C157">
        <v>25273</v>
      </c>
      <c r="D157" t="str">
        <v>Italy</v>
      </c>
      <c r="E157" t="str">
        <v>Carretera</v>
      </c>
      <c r="F157">
        <v>274</v>
      </c>
      <c r="G157">
        <v>3.84</v>
      </c>
      <c r="H157">
        <v>4</v>
      </c>
      <c r="I157">
        <v>1096</v>
      </c>
      <c r="J157" t="str">
        <v>Yes</v>
      </c>
    </row>
    <row r="158" spans="3:10" x14ac:dyDescent="0.25">
      <c r="C158">
        <v>45386</v>
      </c>
      <c r="D158" t="str">
        <v>Ireland</v>
      </c>
      <c r="E158" t="str">
        <v>Carretera</v>
      </c>
      <c r="F158">
        <v>1094</v>
      </c>
      <c r="G158">
        <v>3.43</v>
      </c>
      <c r="H158">
        <v>5</v>
      </c>
      <c r="I158">
        <v>5470</v>
      </c>
      <c r="J158" t="str">
        <v>Yes</v>
      </c>
    </row>
    <row r="159" spans="3:10" x14ac:dyDescent="0.25">
      <c r="C159">
        <v>89782</v>
      </c>
      <c r="D159" t="str">
        <v>Germany</v>
      </c>
      <c r="E159" t="str">
        <v>Carretera</v>
      </c>
      <c r="F159">
        <v>663</v>
      </c>
      <c r="G159">
        <v>3.87</v>
      </c>
      <c r="H159">
        <v>5</v>
      </c>
      <c r="I159">
        <v>3315</v>
      </c>
      <c r="J159" t="str">
        <v>Yes</v>
      </c>
    </row>
    <row r="160" spans="3:10" x14ac:dyDescent="0.25">
      <c r="C160">
        <v>10128</v>
      </c>
      <c r="D160" t="str">
        <v>Netherlands</v>
      </c>
      <c r="E160" t="str">
        <v>Carretera</v>
      </c>
      <c r="F160">
        <v>831</v>
      </c>
      <c r="G160">
        <v>4</v>
      </c>
      <c r="H160">
        <v>6</v>
      </c>
      <c r="I160">
        <v>4986</v>
      </c>
      <c r="J160" t="str">
        <v>No</v>
      </c>
    </row>
    <row r="161" spans="3:10" x14ac:dyDescent="0.25">
      <c r="C161">
        <v>88111</v>
      </c>
      <c r="D161" t="str">
        <v>Germany</v>
      </c>
      <c r="E161" t="str">
        <v>Carretera</v>
      </c>
      <c r="F161">
        <v>2021</v>
      </c>
      <c r="G161">
        <v>3.16</v>
      </c>
      <c r="H161">
        <v>5</v>
      </c>
      <c r="I161">
        <v>10105</v>
      </c>
      <c r="J161" t="str">
        <v>No</v>
      </c>
    </row>
    <row r="162" spans="3:10" x14ac:dyDescent="0.25">
      <c r="C162">
        <v>41947</v>
      </c>
      <c r="D162" t="str">
        <v>Spain</v>
      </c>
      <c r="E162" t="str">
        <v>Carretera</v>
      </c>
      <c r="F162">
        <v>2470</v>
      </c>
      <c r="G162">
        <v>3.38</v>
      </c>
      <c r="H162">
        <v>5</v>
      </c>
      <c r="I162">
        <v>12350</v>
      </c>
      <c r="J162" t="str">
        <v>Yes</v>
      </c>
    </row>
    <row r="163" spans="3:10" x14ac:dyDescent="0.25">
      <c r="C163">
        <v>52336</v>
      </c>
      <c r="D163" t="str">
        <v>Netherlands</v>
      </c>
      <c r="E163" t="str">
        <v>Carretera</v>
      </c>
      <c r="F163">
        <v>1295</v>
      </c>
      <c r="G163">
        <v>3.89</v>
      </c>
      <c r="H163">
        <v>5</v>
      </c>
      <c r="I163">
        <v>6475</v>
      </c>
      <c r="J163" t="str">
        <v>Yes</v>
      </c>
    </row>
    <row r="164" spans="3:10" x14ac:dyDescent="0.25">
      <c r="C164">
        <v>77580</v>
      </c>
      <c r="D164" t="str">
        <v>Italy</v>
      </c>
      <c r="E164" t="str">
        <v>Carretera</v>
      </c>
      <c r="F164">
        <v>1761</v>
      </c>
      <c r="G164">
        <v>3.55</v>
      </c>
      <c r="H164">
        <v>6</v>
      </c>
      <c r="I164">
        <v>10566</v>
      </c>
      <c r="J164" t="str">
        <v>Yes</v>
      </c>
    </row>
    <row r="165" spans="3:10" x14ac:dyDescent="0.25">
      <c r="C165">
        <v>35175</v>
      </c>
      <c r="D165" t="str">
        <v>Italy</v>
      </c>
      <c r="E165" t="str">
        <v>Carretera</v>
      </c>
      <c r="F165">
        <v>570</v>
      </c>
      <c r="G165">
        <v>3.43</v>
      </c>
      <c r="H165">
        <v>4</v>
      </c>
      <c r="I165">
        <v>2280</v>
      </c>
      <c r="J165" t="str">
        <v>No</v>
      </c>
    </row>
    <row r="166" spans="3:10" x14ac:dyDescent="0.25">
      <c r="C166">
        <v>17414</v>
      </c>
      <c r="D166" t="str">
        <v>Ireland</v>
      </c>
      <c r="E166" t="str">
        <v>Carretera</v>
      </c>
      <c r="F166">
        <v>689</v>
      </c>
      <c r="G166">
        <v>3.38</v>
      </c>
      <c r="H166">
        <v>4</v>
      </c>
      <c r="I166">
        <v>2756</v>
      </c>
      <c r="J166" t="str">
        <v>Yes</v>
      </c>
    </row>
    <row r="167" spans="3:10" x14ac:dyDescent="0.25">
      <c r="C167">
        <v>30380</v>
      </c>
      <c r="D167" t="str">
        <v>Netherlands</v>
      </c>
      <c r="E167" t="str">
        <v>Carretera</v>
      </c>
      <c r="F167">
        <v>1445</v>
      </c>
      <c r="G167">
        <v>3.48</v>
      </c>
      <c r="H167">
        <v>5</v>
      </c>
      <c r="I167">
        <v>7225</v>
      </c>
      <c r="J167" t="str">
        <v>No</v>
      </c>
    </row>
    <row r="168" spans="3:10" x14ac:dyDescent="0.25">
      <c r="C168">
        <v>40276</v>
      </c>
      <c r="D168" t="str">
        <v>Spain</v>
      </c>
      <c r="E168" t="str">
        <v>Carretera</v>
      </c>
      <c r="F168">
        <v>1540</v>
      </c>
      <c r="G168">
        <v>3.51</v>
      </c>
      <c r="H168">
        <v>5</v>
      </c>
      <c r="I168">
        <v>7700</v>
      </c>
      <c r="J168" t="str">
        <v>No</v>
      </c>
    </row>
    <row r="169" spans="3:10" x14ac:dyDescent="0.25">
      <c r="C169">
        <v>14113</v>
      </c>
      <c r="D169" t="str">
        <v>Netherlands</v>
      </c>
      <c r="E169" t="str">
        <v>Carretera</v>
      </c>
      <c r="F169">
        <v>2416</v>
      </c>
      <c r="G169">
        <v>3.67</v>
      </c>
      <c r="H169">
        <v>5</v>
      </c>
      <c r="I169">
        <v>12080</v>
      </c>
      <c r="J169" t="str">
        <v>Yes</v>
      </c>
    </row>
    <row r="170" spans="3:10" x14ac:dyDescent="0.25">
      <c r="C170">
        <v>60058</v>
      </c>
      <c r="D170" t="str">
        <v>Germany</v>
      </c>
      <c r="E170" t="str">
        <v>Carretera</v>
      </c>
      <c r="F170">
        <v>442</v>
      </c>
      <c r="G170">
        <v>3.74</v>
      </c>
      <c r="H170">
        <v>6</v>
      </c>
      <c r="I170">
        <v>2652</v>
      </c>
      <c r="J170" t="str">
        <v>Yes</v>
      </c>
    </row>
    <row r="171" spans="3:10" x14ac:dyDescent="0.25">
      <c r="C171">
        <v>97619</v>
      </c>
      <c r="D171" t="str">
        <v>Spain</v>
      </c>
      <c r="E171" t="str">
        <v>Carretera</v>
      </c>
      <c r="F171">
        <v>1210</v>
      </c>
      <c r="G171">
        <v>3.12</v>
      </c>
      <c r="H171">
        <v>4</v>
      </c>
      <c r="I171">
        <v>4840</v>
      </c>
      <c r="J171" t="str">
        <v>Yes</v>
      </c>
    </row>
    <row r="172" spans="3:10" x14ac:dyDescent="0.25">
      <c r="C172">
        <v>37745</v>
      </c>
      <c r="D172" t="str">
        <v>Italy</v>
      </c>
      <c r="E172" t="str">
        <v>Carretera</v>
      </c>
      <c r="F172">
        <v>263</v>
      </c>
      <c r="G172">
        <v>3.29</v>
      </c>
      <c r="H172">
        <v>5</v>
      </c>
      <c r="I172">
        <v>1315</v>
      </c>
      <c r="J172" t="str">
        <v>Yes</v>
      </c>
    </row>
    <row r="173" spans="3:10" x14ac:dyDescent="0.25">
      <c r="C173">
        <v>97884</v>
      </c>
      <c r="D173" t="str">
        <v>Germany</v>
      </c>
      <c r="E173" t="str">
        <v>Carretera</v>
      </c>
      <c r="F173">
        <v>1321</v>
      </c>
      <c r="G173">
        <v>3.8</v>
      </c>
      <c r="H173">
        <v>5</v>
      </c>
      <c r="I173">
        <v>6605</v>
      </c>
      <c r="J173" t="str">
        <v>Yes</v>
      </c>
    </row>
    <row r="174" spans="3:10" x14ac:dyDescent="0.25">
      <c r="C174">
        <v>12276</v>
      </c>
      <c r="D174" t="str">
        <v>Spain</v>
      </c>
      <c r="E174" t="str">
        <v>Carretera</v>
      </c>
      <c r="F174">
        <v>2706</v>
      </c>
      <c r="G174">
        <v>3.81</v>
      </c>
      <c r="H174">
        <v>5</v>
      </c>
      <c r="I174">
        <v>13530</v>
      </c>
      <c r="J174" t="str">
        <v>No</v>
      </c>
    </row>
    <row r="175" spans="3:10" x14ac:dyDescent="0.25">
      <c r="C175">
        <v>55012</v>
      </c>
      <c r="D175" t="str">
        <v>Spain</v>
      </c>
      <c r="E175" t="str">
        <v>Carretera</v>
      </c>
      <c r="F175">
        <v>367</v>
      </c>
      <c r="G175">
        <v>3.04</v>
      </c>
      <c r="H175">
        <v>4</v>
      </c>
      <c r="I175">
        <v>1468</v>
      </c>
      <c r="J175" t="str">
        <v>No</v>
      </c>
    </row>
    <row r="176" spans="3:10" x14ac:dyDescent="0.25">
      <c r="C176">
        <v>12953</v>
      </c>
      <c r="D176" t="str">
        <v>Germany</v>
      </c>
      <c r="E176" t="str">
        <v>Carretera</v>
      </c>
      <c r="F176">
        <v>2580</v>
      </c>
      <c r="G176">
        <v>3.83</v>
      </c>
      <c r="H176">
        <v>5</v>
      </c>
      <c r="I176">
        <v>12900</v>
      </c>
      <c r="J176" t="str">
        <v>Yes</v>
      </c>
    </row>
    <row r="177" spans="3:10" x14ac:dyDescent="0.25">
      <c r="C177">
        <v>76766</v>
      </c>
      <c r="D177" t="str">
        <v>Netherlands</v>
      </c>
      <c r="E177" t="str">
        <v>Carretera</v>
      </c>
      <c r="F177">
        <v>1496</v>
      </c>
      <c r="G177">
        <v>3.61</v>
      </c>
      <c r="H177">
        <v>4</v>
      </c>
      <c r="I177">
        <v>5984</v>
      </c>
      <c r="J177" t="str">
        <v>No</v>
      </c>
    </row>
    <row r="178" spans="3:10" x14ac:dyDescent="0.25">
      <c r="C178">
        <v>96764</v>
      </c>
      <c r="D178" t="str">
        <v>Italy</v>
      </c>
      <c r="E178" t="str">
        <v>Carretera</v>
      </c>
      <c r="F178">
        <v>386</v>
      </c>
      <c r="G178">
        <v>3.02</v>
      </c>
      <c r="H178">
        <v>5</v>
      </c>
      <c r="I178">
        <v>1930</v>
      </c>
      <c r="J178" t="str">
        <v>Yes</v>
      </c>
    </row>
    <row r="179" spans="3:10" x14ac:dyDescent="0.25">
      <c r="C179">
        <v>58413</v>
      </c>
      <c r="D179" t="str">
        <v>Ireland</v>
      </c>
      <c r="E179" t="str">
        <v>Carretera</v>
      </c>
      <c r="F179">
        <v>1362</v>
      </c>
      <c r="G179">
        <v>3.08</v>
      </c>
      <c r="H179">
        <v>5</v>
      </c>
      <c r="I179">
        <v>6810</v>
      </c>
      <c r="J179" t="str">
        <v>No</v>
      </c>
    </row>
    <row r="180" spans="3:10" x14ac:dyDescent="0.25">
      <c r="C180">
        <v>20587</v>
      </c>
      <c r="D180" t="str">
        <v>France</v>
      </c>
      <c r="E180" t="str">
        <v>Carretera</v>
      </c>
      <c r="F180">
        <v>1563</v>
      </c>
      <c r="G180">
        <v>3.34</v>
      </c>
      <c r="H180">
        <v>5</v>
      </c>
      <c r="I180">
        <v>7815</v>
      </c>
      <c r="J180" t="str">
        <v>No</v>
      </c>
    </row>
    <row r="181" spans="3:10" x14ac:dyDescent="0.25">
      <c r="C181">
        <v>18473</v>
      </c>
      <c r="D181" t="str">
        <v>Netherlands</v>
      </c>
      <c r="E181" t="str">
        <v>Carretera</v>
      </c>
      <c r="F181">
        <v>2689</v>
      </c>
      <c r="G181">
        <v>3.23</v>
      </c>
      <c r="H181">
        <v>5</v>
      </c>
      <c r="I181">
        <v>13445</v>
      </c>
      <c r="J181" t="str">
        <v>No</v>
      </c>
    </row>
    <row r="182" spans="3:10" x14ac:dyDescent="0.25">
      <c r="C182">
        <v>75656</v>
      </c>
      <c r="D182" t="str">
        <v>Italy</v>
      </c>
      <c r="E182" t="str">
        <v>Carretera</v>
      </c>
      <c r="F182">
        <v>330</v>
      </c>
      <c r="G182">
        <v>3.5</v>
      </c>
      <c r="H182">
        <v>4</v>
      </c>
      <c r="I182">
        <v>1320</v>
      </c>
      <c r="J182" t="str">
        <v>No</v>
      </c>
    </row>
    <row r="183" spans="3:10" x14ac:dyDescent="0.25">
      <c r="C183">
        <v>33553</v>
      </c>
      <c r="D183" t="str">
        <v>Germany</v>
      </c>
      <c r="E183" t="str">
        <v>Carretera</v>
      </c>
      <c r="F183">
        <v>888</v>
      </c>
      <c r="G183">
        <v>3.33</v>
      </c>
      <c r="H183">
        <v>5</v>
      </c>
      <c r="I183">
        <v>4440</v>
      </c>
      <c r="J183" t="str">
        <v>No</v>
      </c>
    </row>
    <row r="184" spans="3:10" x14ac:dyDescent="0.25">
      <c r="C184">
        <v>78945</v>
      </c>
      <c r="D184" t="str">
        <v>France</v>
      </c>
      <c r="E184" t="str">
        <v>Carretera</v>
      </c>
      <c r="F184">
        <v>1023</v>
      </c>
      <c r="G184">
        <v>3.24</v>
      </c>
      <c r="H184">
        <v>4</v>
      </c>
      <c r="I184">
        <v>4092</v>
      </c>
      <c r="J184" t="str">
        <v>No</v>
      </c>
    </row>
    <row r="185" spans="3:10" x14ac:dyDescent="0.25">
      <c r="C185">
        <v>65787</v>
      </c>
      <c r="D185" t="str">
        <v>Spain</v>
      </c>
      <c r="E185" t="str">
        <v>Carretera</v>
      </c>
      <c r="F185">
        <v>2529</v>
      </c>
      <c r="G185">
        <v>3.17</v>
      </c>
      <c r="H185">
        <v>4</v>
      </c>
      <c r="I185">
        <v>10116</v>
      </c>
      <c r="J185" t="str">
        <v>No</v>
      </c>
    </row>
    <row r="186" spans="3:10" x14ac:dyDescent="0.25">
      <c r="C186">
        <v>86862</v>
      </c>
      <c r="D186" t="str">
        <v>Ireland</v>
      </c>
      <c r="E186" t="str">
        <v>Carretera</v>
      </c>
      <c r="F186">
        <v>819</v>
      </c>
      <c r="G186">
        <v>3.3</v>
      </c>
      <c r="H186">
        <v>5</v>
      </c>
      <c r="I186">
        <v>4095</v>
      </c>
      <c r="J186" t="str">
        <v>No</v>
      </c>
    </row>
    <row r="187" spans="3:10" x14ac:dyDescent="0.25">
      <c r="C187">
        <v>80672</v>
      </c>
      <c r="D187" t="str">
        <v>France</v>
      </c>
      <c r="E187" t="str">
        <v>Carretera</v>
      </c>
      <c r="F187">
        <v>2155</v>
      </c>
      <c r="G187">
        <v>3.52</v>
      </c>
      <c r="H187">
        <v>4</v>
      </c>
      <c r="I187">
        <v>8620</v>
      </c>
      <c r="J187" t="str">
        <v>Yes</v>
      </c>
    </row>
    <row r="188" spans="3:10" x14ac:dyDescent="0.25">
      <c r="C188">
        <v>21512</v>
      </c>
      <c r="D188" t="str">
        <v>Spain</v>
      </c>
      <c r="E188" t="str">
        <v>Carretera</v>
      </c>
      <c r="F188">
        <v>2791</v>
      </c>
      <c r="G188">
        <v>3.85</v>
      </c>
      <c r="H188">
        <v>4</v>
      </c>
      <c r="I188">
        <v>11164</v>
      </c>
      <c r="J188" t="str">
        <v>No</v>
      </c>
    </row>
    <row r="189" spans="3:10" x14ac:dyDescent="0.25">
      <c r="C189">
        <v>66776</v>
      </c>
      <c r="D189" t="str">
        <v>Spain</v>
      </c>
      <c r="E189" t="str">
        <v>Carretera</v>
      </c>
      <c r="F189">
        <v>727</v>
      </c>
      <c r="G189">
        <v>3.7</v>
      </c>
      <c r="H189">
        <v>5</v>
      </c>
      <c r="I189">
        <v>3635</v>
      </c>
      <c r="J189" t="str">
        <v>Yes</v>
      </c>
    </row>
    <row r="190" spans="3:10" x14ac:dyDescent="0.25">
      <c r="C190">
        <v>64084</v>
      </c>
      <c r="D190" t="str">
        <v>France</v>
      </c>
      <c r="E190" t="str">
        <v>Carretera</v>
      </c>
      <c r="F190">
        <v>1865</v>
      </c>
      <c r="G190">
        <v>3.99</v>
      </c>
      <c r="H190">
        <v>4</v>
      </c>
      <c r="I190">
        <v>7460</v>
      </c>
      <c r="J190" t="str">
        <v>Yes</v>
      </c>
    </row>
    <row r="191" spans="3:10" x14ac:dyDescent="0.25">
      <c r="C191">
        <v>48404</v>
      </c>
      <c r="D191" t="str">
        <v>Germany</v>
      </c>
      <c r="E191" t="str">
        <v>Carretera</v>
      </c>
      <c r="F191">
        <v>1016</v>
      </c>
      <c r="G191">
        <v>3.5300000000000002</v>
      </c>
      <c r="H191">
        <v>5</v>
      </c>
      <c r="I191">
        <v>5080</v>
      </c>
      <c r="J191" t="str">
        <v>Yes</v>
      </c>
    </row>
    <row r="192" spans="3:10" x14ac:dyDescent="0.25">
      <c r="C192">
        <v>35316</v>
      </c>
      <c r="D192" t="str">
        <v>Vatican</v>
      </c>
      <c r="E192" t="str">
        <v>Montana</v>
      </c>
      <c r="F192">
        <v>1967</v>
      </c>
      <c r="G192">
        <v>5.79</v>
      </c>
      <c r="H192">
        <v>7</v>
      </c>
      <c r="I192">
        <v>13769</v>
      </c>
      <c r="J192" t="str">
        <v>No</v>
      </c>
    </row>
    <row r="193" spans="3:10" x14ac:dyDescent="0.25">
      <c r="C193">
        <v>45863</v>
      </c>
      <c r="D193" t="str">
        <v>Netherlands</v>
      </c>
      <c r="E193" t="str">
        <v>Montana</v>
      </c>
      <c r="F193">
        <v>3802</v>
      </c>
      <c r="G193">
        <v>5.79</v>
      </c>
      <c r="H193">
        <v>9</v>
      </c>
      <c r="I193">
        <v>34218</v>
      </c>
      <c r="J193" t="str">
        <v>No</v>
      </c>
    </row>
    <row r="194" spans="3:10" x14ac:dyDescent="0.25">
      <c r="C194">
        <v>75204</v>
      </c>
      <c r="D194" t="str">
        <v>Ireland</v>
      </c>
      <c r="E194" t="str">
        <v>Montana</v>
      </c>
      <c r="F194">
        <v>1899</v>
      </c>
      <c r="G194">
        <v>5.65</v>
      </c>
      <c r="H194">
        <v>7</v>
      </c>
      <c r="I194">
        <v>13293</v>
      </c>
      <c r="J194" t="str">
        <v>No</v>
      </c>
    </row>
    <row r="195" spans="3:10" x14ac:dyDescent="0.25">
      <c r="C195">
        <v>96845</v>
      </c>
      <c r="D195" t="str">
        <v>Germany</v>
      </c>
      <c r="E195" t="str">
        <v>Montana</v>
      </c>
      <c r="F195">
        <v>645</v>
      </c>
      <c r="G195">
        <v>5.45</v>
      </c>
      <c r="H195">
        <v>7</v>
      </c>
      <c r="I195">
        <v>4515</v>
      </c>
      <c r="J195" t="str">
        <v>No</v>
      </c>
    </row>
    <row r="196" spans="3:10" x14ac:dyDescent="0.25">
      <c r="C196">
        <v>48238</v>
      </c>
      <c r="D196" t="str">
        <v>Ireland</v>
      </c>
      <c r="E196" t="str">
        <v>Montana</v>
      </c>
      <c r="F196">
        <v>3627</v>
      </c>
      <c r="G196">
        <v>5.0599999999999996</v>
      </c>
      <c r="H196">
        <v>6</v>
      </c>
      <c r="I196">
        <v>21762</v>
      </c>
      <c r="J196" t="str">
        <v>Yes</v>
      </c>
    </row>
    <row r="197" spans="3:10" x14ac:dyDescent="0.25">
      <c r="C197">
        <v>56028</v>
      </c>
      <c r="D197" t="str">
        <v>Netherlands</v>
      </c>
      <c r="E197" t="str">
        <v>Montana</v>
      </c>
      <c r="F197">
        <v>1830</v>
      </c>
      <c r="G197">
        <v>5.23</v>
      </c>
      <c r="H197">
        <v>8</v>
      </c>
      <c r="I197">
        <v>14640</v>
      </c>
      <c r="J197" t="str">
        <v>Yes</v>
      </c>
    </row>
    <row r="198" spans="3:10" x14ac:dyDescent="0.25">
      <c r="C198">
        <v>87519</v>
      </c>
      <c r="D198" t="str">
        <v>France</v>
      </c>
      <c r="E198" t="str">
        <v>Montana</v>
      </c>
      <c r="F198">
        <v>1666</v>
      </c>
      <c r="G198">
        <v>5.97</v>
      </c>
      <c r="H198">
        <v>7</v>
      </c>
      <c r="I198">
        <v>11662</v>
      </c>
      <c r="J198" t="str">
        <v>Yes</v>
      </c>
    </row>
    <row r="199" spans="3:10" x14ac:dyDescent="0.25">
      <c r="C199">
        <v>88497</v>
      </c>
      <c r="D199" t="str">
        <v>Italy</v>
      </c>
      <c r="E199" t="str">
        <v>Montana</v>
      </c>
      <c r="F199">
        <v>615</v>
      </c>
      <c r="G199">
        <v>5.6</v>
      </c>
      <c r="H199">
        <v>8</v>
      </c>
      <c r="I199">
        <v>4920</v>
      </c>
      <c r="J199" t="str">
        <v>Yes</v>
      </c>
    </row>
    <row r="200" spans="3:10" x14ac:dyDescent="0.25">
      <c r="C200">
        <v>46711</v>
      </c>
      <c r="D200" t="str">
        <v>Spain</v>
      </c>
      <c r="E200" t="str">
        <v>Montana</v>
      </c>
      <c r="F200">
        <v>2157</v>
      </c>
      <c r="G200">
        <v>5.87</v>
      </c>
      <c r="H200">
        <v>8</v>
      </c>
      <c r="I200">
        <v>17256</v>
      </c>
      <c r="J200" t="str">
        <v>Yes</v>
      </c>
    </row>
    <row r="201" spans="3:10" x14ac:dyDescent="0.25">
      <c r="C201">
        <v>81538</v>
      </c>
      <c r="D201" t="str">
        <v>France</v>
      </c>
      <c r="E201" t="str">
        <v>Montana</v>
      </c>
      <c r="F201">
        <v>2501</v>
      </c>
      <c r="G201">
        <v>5.25</v>
      </c>
      <c r="H201">
        <v>7</v>
      </c>
      <c r="I201">
        <v>17507</v>
      </c>
      <c r="J201" t="str">
        <v>No</v>
      </c>
    </row>
    <row r="202" spans="3:10" x14ac:dyDescent="0.25">
      <c r="C202">
        <v>34641</v>
      </c>
      <c r="D202" t="str">
        <v>Spain</v>
      </c>
      <c r="E202" t="str">
        <v>Montana</v>
      </c>
      <c r="F202">
        <v>2420</v>
      </c>
      <c r="G202">
        <v>5.98</v>
      </c>
      <c r="H202">
        <v>9</v>
      </c>
      <c r="I202">
        <v>21780</v>
      </c>
      <c r="J202" t="str">
        <v>Yes</v>
      </c>
    </row>
    <row r="203" spans="3:10" x14ac:dyDescent="0.25">
      <c r="C203">
        <v>96606</v>
      </c>
      <c r="D203" t="str">
        <v>Germany</v>
      </c>
      <c r="E203" t="str">
        <v>Montana</v>
      </c>
      <c r="F203">
        <v>1859</v>
      </c>
      <c r="G203">
        <v>5.04</v>
      </c>
      <c r="H203">
        <v>8</v>
      </c>
      <c r="I203">
        <v>14872</v>
      </c>
      <c r="J203" t="str">
        <v>Yes</v>
      </c>
    </row>
    <row r="204" spans="3:10" x14ac:dyDescent="0.25">
      <c r="C204">
        <v>76710</v>
      </c>
      <c r="D204" t="str">
        <v>Germany</v>
      </c>
      <c r="E204" t="str">
        <v>Montana</v>
      </c>
      <c r="F204">
        <v>1797</v>
      </c>
      <c r="G204">
        <v>5.53</v>
      </c>
      <c r="H204">
        <v>7</v>
      </c>
      <c r="I204">
        <v>12579</v>
      </c>
      <c r="J204" t="str">
        <v>No</v>
      </c>
    </row>
    <row r="205" spans="3:10" x14ac:dyDescent="0.25">
      <c r="C205">
        <v>57751</v>
      </c>
      <c r="D205" t="str">
        <v>France</v>
      </c>
      <c r="E205" t="str">
        <v>Montana</v>
      </c>
      <c r="F205">
        <v>2181</v>
      </c>
      <c r="G205">
        <v>5.5600000000000005</v>
      </c>
      <c r="H205">
        <v>6</v>
      </c>
      <c r="I205">
        <v>13086</v>
      </c>
      <c r="J205" t="str">
        <v>No</v>
      </c>
    </row>
    <row r="206" spans="3:10" x14ac:dyDescent="0.25">
      <c r="C206">
        <v>66223</v>
      </c>
      <c r="D206" t="str">
        <v>France</v>
      </c>
      <c r="E206" t="str">
        <v>Montana</v>
      </c>
      <c r="F206">
        <v>1186</v>
      </c>
      <c r="G206">
        <v>5.48</v>
      </c>
      <c r="H206">
        <v>6</v>
      </c>
      <c r="I206">
        <v>7116</v>
      </c>
      <c r="J206" t="str">
        <v>Yes</v>
      </c>
    </row>
    <row r="207" spans="3:10" x14ac:dyDescent="0.25">
      <c r="C207">
        <v>79925</v>
      </c>
      <c r="D207" t="str">
        <v>Italy</v>
      </c>
      <c r="E207" t="str">
        <v>Montana</v>
      </c>
      <c r="F207">
        <v>1562</v>
      </c>
      <c r="G207">
        <v>5.7</v>
      </c>
      <c r="H207">
        <v>7</v>
      </c>
      <c r="I207">
        <v>10934</v>
      </c>
      <c r="J207" t="str">
        <v>Yes</v>
      </c>
    </row>
    <row r="208" spans="3:10" x14ac:dyDescent="0.25">
      <c r="C208">
        <v>38315</v>
      </c>
      <c r="D208" t="str">
        <v>Netherlands</v>
      </c>
      <c r="E208" t="str">
        <v>Montana</v>
      </c>
      <c r="F208">
        <v>708</v>
      </c>
      <c r="G208">
        <v>5.24</v>
      </c>
      <c r="H208">
        <v>7</v>
      </c>
      <c r="I208">
        <v>4956</v>
      </c>
      <c r="J208" t="str">
        <v>Yes</v>
      </c>
    </row>
    <row r="209" spans="3:10" x14ac:dyDescent="0.25">
      <c r="C209">
        <v>78784</v>
      </c>
      <c r="D209" t="str">
        <v>France</v>
      </c>
      <c r="E209" t="str">
        <v>Montana</v>
      </c>
      <c r="F209">
        <v>1287</v>
      </c>
      <c r="G209">
        <v>5.95</v>
      </c>
      <c r="H209">
        <v>7</v>
      </c>
      <c r="I209">
        <v>9009</v>
      </c>
      <c r="J209" t="str">
        <v>No</v>
      </c>
    </row>
    <row r="210" spans="3:10" x14ac:dyDescent="0.25">
      <c r="C210">
        <v>56997</v>
      </c>
      <c r="D210" t="str">
        <v>Spain</v>
      </c>
      <c r="E210" t="str">
        <v>Montana</v>
      </c>
      <c r="F210">
        <v>2661</v>
      </c>
      <c r="G210">
        <v>5.65</v>
      </c>
      <c r="H210">
        <v>8</v>
      </c>
      <c r="I210">
        <v>21288</v>
      </c>
      <c r="J210" t="str">
        <v>Yes</v>
      </c>
    </row>
    <row r="211" spans="3:10" x14ac:dyDescent="0.25">
      <c r="C211">
        <v>12118</v>
      </c>
      <c r="D211" t="str">
        <v>Germany</v>
      </c>
      <c r="E211" t="str">
        <v>Montana</v>
      </c>
      <c r="F211">
        <v>1159</v>
      </c>
      <c r="G211">
        <v>5.75</v>
      </c>
      <c r="H211">
        <v>9</v>
      </c>
      <c r="I211">
        <v>10431</v>
      </c>
      <c r="J211" t="str">
        <v>Yes</v>
      </c>
    </row>
    <row r="212" spans="3:10" x14ac:dyDescent="0.25">
      <c r="C212">
        <v>66146</v>
      </c>
      <c r="D212" t="str">
        <v>Italy</v>
      </c>
      <c r="E212" t="str">
        <v>Montana</v>
      </c>
      <c r="F212">
        <v>2301</v>
      </c>
      <c r="G212">
        <v>5.8100000000000005</v>
      </c>
      <c r="H212">
        <v>9</v>
      </c>
      <c r="I212">
        <v>20709</v>
      </c>
      <c r="J212" t="str">
        <v>No</v>
      </c>
    </row>
    <row r="213" spans="3:10" x14ac:dyDescent="0.25">
      <c r="C213">
        <v>33399</v>
      </c>
      <c r="D213" t="str">
        <v>Spain</v>
      </c>
      <c r="E213" t="str">
        <v>Montana</v>
      </c>
      <c r="F213">
        <v>2255</v>
      </c>
      <c r="G213">
        <v>5.4</v>
      </c>
      <c r="H213">
        <v>7</v>
      </c>
      <c r="I213">
        <v>15785</v>
      </c>
      <c r="J213" t="str">
        <v>Yes</v>
      </c>
    </row>
    <row r="214" spans="3:10" x14ac:dyDescent="0.25">
      <c r="C214">
        <v>55702</v>
      </c>
      <c r="D214" t="str">
        <v>Italy</v>
      </c>
      <c r="E214" t="str">
        <v>Montana</v>
      </c>
      <c r="F214">
        <v>2498</v>
      </c>
      <c r="G214">
        <v>5.8100000000000005</v>
      </c>
      <c r="H214">
        <v>7</v>
      </c>
      <c r="I214">
        <v>17486</v>
      </c>
      <c r="J214" t="str">
        <v>Yes</v>
      </c>
    </row>
    <row r="215" spans="3:10" x14ac:dyDescent="0.25">
      <c r="C215">
        <v>22566</v>
      </c>
      <c r="D215" t="str">
        <v>Italy</v>
      </c>
      <c r="E215" t="str">
        <v>Montana</v>
      </c>
      <c r="F215">
        <v>982</v>
      </c>
      <c r="G215">
        <v>5.46</v>
      </c>
      <c r="H215">
        <v>6</v>
      </c>
      <c r="I215">
        <v>5892</v>
      </c>
      <c r="J215" t="str">
        <v>Yes</v>
      </c>
    </row>
    <row r="216" spans="3:10" x14ac:dyDescent="0.25">
      <c r="C216">
        <v>79904</v>
      </c>
      <c r="D216" t="str">
        <v>France</v>
      </c>
      <c r="E216" t="str">
        <v>Montana</v>
      </c>
      <c r="F216">
        <v>293</v>
      </c>
      <c r="G216">
        <v>5.48</v>
      </c>
      <c r="H216">
        <v>7</v>
      </c>
      <c r="I216">
        <v>2051</v>
      </c>
      <c r="J216" t="str">
        <v>Yes</v>
      </c>
    </row>
    <row r="217" spans="3:10" x14ac:dyDescent="0.25">
      <c r="C217">
        <v>61192</v>
      </c>
      <c r="D217" t="str">
        <v>Netherlands</v>
      </c>
      <c r="E217" t="str">
        <v>Montana</v>
      </c>
      <c r="F217">
        <v>921</v>
      </c>
      <c r="G217">
        <v>5.46</v>
      </c>
      <c r="H217">
        <v>7</v>
      </c>
      <c r="I217">
        <v>6447</v>
      </c>
      <c r="J217" t="str">
        <v>No</v>
      </c>
    </row>
    <row r="218" spans="3:10" x14ac:dyDescent="0.25">
      <c r="C218">
        <v>76234</v>
      </c>
      <c r="D218" t="str">
        <v>Ireland</v>
      </c>
      <c r="E218" t="str">
        <v>Montana</v>
      </c>
      <c r="F218">
        <v>711</v>
      </c>
      <c r="G218">
        <v>5.57</v>
      </c>
      <c r="H218">
        <v>9</v>
      </c>
      <c r="I218">
        <v>6399</v>
      </c>
      <c r="J218" t="str">
        <v>No</v>
      </c>
    </row>
    <row r="219" spans="3:10" x14ac:dyDescent="0.25">
      <c r="C219">
        <v>19862</v>
      </c>
      <c r="D219" t="str">
        <v>France</v>
      </c>
      <c r="E219" t="str">
        <v>Montana</v>
      </c>
      <c r="F219">
        <v>1384</v>
      </c>
      <c r="G219">
        <v>5.84</v>
      </c>
      <c r="H219">
        <v>9</v>
      </c>
      <c r="I219">
        <v>12456</v>
      </c>
      <c r="J219" t="str">
        <v>Yes</v>
      </c>
    </row>
    <row r="220" spans="3:10" x14ac:dyDescent="0.25">
      <c r="C220">
        <v>78006</v>
      </c>
      <c r="D220" t="str">
        <v>Germany</v>
      </c>
      <c r="E220" t="str">
        <v>Montana</v>
      </c>
      <c r="F220">
        <v>1958</v>
      </c>
      <c r="G220">
        <v>5.33</v>
      </c>
      <c r="H220">
        <v>7</v>
      </c>
      <c r="I220">
        <v>13706</v>
      </c>
      <c r="J220" t="str">
        <v>Yes</v>
      </c>
    </row>
    <row r="221" spans="3:10" x14ac:dyDescent="0.25">
      <c r="C221">
        <v>41743</v>
      </c>
      <c r="D221" t="str">
        <v>Spain</v>
      </c>
      <c r="E221" t="str">
        <v>Montana</v>
      </c>
      <c r="F221">
        <v>1660</v>
      </c>
      <c r="G221">
        <v>5.15</v>
      </c>
      <c r="H221">
        <v>6</v>
      </c>
      <c r="I221">
        <v>9960</v>
      </c>
      <c r="J221" t="str">
        <v>Yes</v>
      </c>
    </row>
    <row r="222" spans="3:10" x14ac:dyDescent="0.25">
      <c r="C222">
        <v>29548</v>
      </c>
      <c r="D222" t="str">
        <v>Spain</v>
      </c>
      <c r="E222" t="str">
        <v>Montana</v>
      </c>
      <c r="F222">
        <v>958</v>
      </c>
      <c r="G222">
        <v>5.82</v>
      </c>
      <c r="H222">
        <v>7</v>
      </c>
      <c r="I222">
        <v>6706</v>
      </c>
      <c r="J222" t="str">
        <v>Yes</v>
      </c>
    </row>
    <row r="223" spans="3:10" x14ac:dyDescent="0.25">
      <c r="C223">
        <v>83130</v>
      </c>
      <c r="D223" t="str">
        <v>Netherlands</v>
      </c>
      <c r="E223" t="str">
        <v>Montana</v>
      </c>
      <c r="F223">
        <v>1611</v>
      </c>
      <c r="G223">
        <v>5.24</v>
      </c>
      <c r="H223">
        <v>7</v>
      </c>
      <c r="I223">
        <v>11277</v>
      </c>
      <c r="J223" t="str">
        <v>No</v>
      </c>
    </row>
    <row r="224" spans="3:10" x14ac:dyDescent="0.25">
      <c r="C224">
        <v>75058</v>
      </c>
      <c r="D224" t="str">
        <v>Germany</v>
      </c>
      <c r="E224" t="str">
        <v>Montana</v>
      </c>
      <c r="F224">
        <v>1199</v>
      </c>
      <c r="G224">
        <v>5.4</v>
      </c>
      <c r="H224">
        <v>7</v>
      </c>
      <c r="I224">
        <v>8393</v>
      </c>
      <c r="J224" t="str">
        <v>No</v>
      </c>
    </row>
    <row r="225" spans="3:10" x14ac:dyDescent="0.25">
      <c r="C225">
        <v>60714</v>
      </c>
      <c r="D225" t="str">
        <v>Italy</v>
      </c>
      <c r="E225" t="str">
        <v>Montana</v>
      </c>
      <c r="F225">
        <v>2797</v>
      </c>
      <c r="G225">
        <v>5.42</v>
      </c>
      <c r="H225">
        <v>7</v>
      </c>
      <c r="I225">
        <v>19579</v>
      </c>
      <c r="J225" t="str">
        <v>Yes</v>
      </c>
    </row>
    <row r="226" spans="3:10" x14ac:dyDescent="0.25">
      <c r="C226">
        <v>49817</v>
      </c>
      <c r="D226" t="str">
        <v>Spain</v>
      </c>
      <c r="E226" t="str">
        <v>Montana</v>
      </c>
      <c r="F226">
        <v>690</v>
      </c>
      <c r="G226">
        <v>5.36</v>
      </c>
      <c r="H226">
        <v>8</v>
      </c>
      <c r="I226">
        <v>5520</v>
      </c>
      <c r="J226" t="str">
        <v>Yes</v>
      </c>
    </row>
    <row r="227" spans="3:10" x14ac:dyDescent="0.25">
      <c r="C227">
        <v>87745</v>
      </c>
      <c r="D227" t="str">
        <v>Spain</v>
      </c>
      <c r="E227" t="str">
        <v>Montana</v>
      </c>
      <c r="F227">
        <v>546</v>
      </c>
      <c r="G227">
        <v>5.98</v>
      </c>
      <c r="H227">
        <v>9</v>
      </c>
      <c r="I227">
        <v>4914</v>
      </c>
      <c r="J227" t="str">
        <v>No</v>
      </c>
    </row>
    <row r="228" spans="3:10" x14ac:dyDescent="0.25">
      <c r="C228">
        <v>39623</v>
      </c>
      <c r="D228" t="str">
        <v>France</v>
      </c>
      <c r="E228" t="str">
        <v>Montana</v>
      </c>
      <c r="F228">
        <v>1901</v>
      </c>
      <c r="G228">
        <v>5.27</v>
      </c>
      <c r="H228">
        <v>7</v>
      </c>
      <c r="I228">
        <v>13307</v>
      </c>
      <c r="J228" t="str">
        <v>No</v>
      </c>
    </row>
    <row r="229" spans="3:10" x14ac:dyDescent="0.25">
      <c r="C229">
        <v>50960</v>
      </c>
      <c r="D229" t="str">
        <v>Netherlands</v>
      </c>
      <c r="E229" t="str">
        <v>Montana</v>
      </c>
      <c r="F229">
        <v>2300</v>
      </c>
      <c r="G229">
        <v>6</v>
      </c>
      <c r="H229">
        <v>9</v>
      </c>
      <c r="I229">
        <v>20700</v>
      </c>
      <c r="J229" t="str">
        <v>Yes</v>
      </c>
    </row>
    <row r="230" spans="3:10" x14ac:dyDescent="0.25">
      <c r="C230">
        <v>65830</v>
      </c>
      <c r="D230" t="str">
        <v>Germany</v>
      </c>
      <c r="E230" t="str">
        <v>Montana</v>
      </c>
      <c r="F230">
        <v>334</v>
      </c>
      <c r="G230">
        <v>5.89</v>
      </c>
      <c r="H230">
        <v>9</v>
      </c>
      <c r="I230">
        <v>3006</v>
      </c>
      <c r="J230" t="str">
        <v>Yes</v>
      </c>
    </row>
    <row r="231" spans="3:10" x14ac:dyDescent="0.25">
      <c r="C231">
        <v>10824</v>
      </c>
      <c r="D231" t="str">
        <v>Ireland</v>
      </c>
      <c r="E231" t="str">
        <v>Montana</v>
      </c>
      <c r="F231">
        <v>1138</v>
      </c>
      <c r="G231">
        <v>5.1100000000000003</v>
      </c>
      <c r="H231">
        <v>7</v>
      </c>
      <c r="I231">
        <v>7966</v>
      </c>
      <c r="J231" t="str">
        <v>No</v>
      </c>
    </row>
    <row r="232" spans="3:10" x14ac:dyDescent="0.25">
      <c r="C232">
        <v>65178</v>
      </c>
      <c r="D232" t="str">
        <v>Germany</v>
      </c>
      <c r="E232" t="str">
        <v>Montana</v>
      </c>
      <c r="F232">
        <v>2146</v>
      </c>
      <c r="G232">
        <v>5.12</v>
      </c>
      <c r="H232">
        <v>7</v>
      </c>
      <c r="I232">
        <v>15022</v>
      </c>
      <c r="J232" t="str">
        <v>No</v>
      </c>
    </row>
    <row r="233" spans="3:10" x14ac:dyDescent="0.25">
      <c r="C233">
        <v>75858</v>
      </c>
      <c r="D233" t="str">
        <v>France</v>
      </c>
      <c r="E233" t="str">
        <v>Montana</v>
      </c>
      <c r="F233">
        <v>1403</v>
      </c>
      <c r="G233">
        <v>5.86</v>
      </c>
      <c r="H233">
        <v>7</v>
      </c>
      <c r="I233">
        <v>9821</v>
      </c>
      <c r="J233" t="str">
        <v>Yes</v>
      </c>
    </row>
    <row r="234" spans="3:10" x14ac:dyDescent="0.25">
      <c r="C234">
        <v>55212</v>
      </c>
      <c r="D234" t="str">
        <v>France</v>
      </c>
      <c r="E234" t="str">
        <v>Montana</v>
      </c>
      <c r="F234">
        <v>1757</v>
      </c>
      <c r="G234">
        <v>5.26</v>
      </c>
      <c r="H234">
        <v>7</v>
      </c>
      <c r="I234">
        <v>12299</v>
      </c>
      <c r="J234" t="str">
        <v>Yes</v>
      </c>
    </row>
    <row r="235" spans="3:10" x14ac:dyDescent="0.25">
      <c r="C235">
        <v>20993</v>
      </c>
      <c r="D235" t="str">
        <v>Germany</v>
      </c>
      <c r="E235" t="str">
        <v>Montana</v>
      </c>
      <c r="F235">
        <v>2500</v>
      </c>
      <c r="G235">
        <v>5.54</v>
      </c>
      <c r="H235">
        <v>8</v>
      </c>
      <c r="I235">
        <v>20000</v>
      </c>
      <c r="J235" t="str">
        <v>No</v>
      </c>
    </row>
    <row r="236" spans="3:10" x14ac:dyDescent="0.25">
      <c r="C236">
        <v>54481</v>
      </c>
      <c r="D236" t="str">
        <v>France</v>
      </c>
      <c r="E236" t="str">
        <v>Montana</v>
      </c>
      <c r="F236">
        <v>544</v>
      </c>
      <c r="G236">
        <v>5.52</v>
      </c>
      <c r="H236">
        <v>8</v>
      </c>
      <c r="I236">
        <v>4352</v>
      </c>
      <c r="J236" t="str">
        <v>No</v>
      </c>
    </row>
    <row r="237" spans="3:10" x14ac:dyDescent="0.25">
      <c r="C237">
        <v>98748</v>
      </c>
      <c r="D237" t="str">
        <v>Ireland</v>
      </c>
      <c r="E237" t="str">
        <v>Montana</v>
      </c>
      <c r="F237">
        <v>2313</v>
      </c>
      <c r="G237">
        <v>5.09</v>
      </c>
      <c r="H237">
        <v>8</v>
      </c>
      <c r="I237">
        <v>18504</v>
      </c>
      <c r="J237" t="str">
        <v>Yes</v>
      </c>
    </row>
    <row r="238" spans="3:10" x14ac:dyDescent="0.25">
      <c r="C238">
        <v>25692</v>
      </c>
      <c r="D238" t="str">
        <v>Ireland</v>
      </c>
      <c r="E238" t="str">
        <v>Montana</v>
      </c>
      <c r="F238">
        <v>1298</v>
      </c>
      <c r="G238">
        <v>5.54</v>
      </c>
      <c r="H238">
        <v>8</v>
      </c>
      <c r="I238">
        <v>10384</v>
      </c>
      <c r="J238" t="str">
        <v>No</v>
      </c>
    </row>
    <row r="239" spans="3:10" x14ac:dyDescent="0.25">
      <c r="C239">
        <v>49680</v>
      </c>
      <c r="D239" t="str">
        <v>Ireland</v>
      </c>
      <c r="E239" t="str">
        <v>Montana</v>
      </c>
      <c r="F239">
        <v>663</v>
      </c>
      <c r="G239">
        <v>5.71</v>
      </c>
      <c r="H239">
        <v>8</v>
      </c>
      <c r="I239">
        <v>5304</v>
      </c>
      <c r="J239" t="str">
        <v>No</v>
      </c>
    </row>
    <row r="240" spans="3:10" x14ac:dyDescent="0.25">
      <c r="C240">
        <v>85862</v>
      </c>
      <c r="D240" t="str">
        <v>Ireland</v>
      </c>
      <c r="E240" t="str">
        <v>Montana</v>
      </c>
      <c r="F240">
        <v>1857</v>
      </c>
      <c r="G240">
        <v>5.47</v>
      </c>
      <c r="H240">
        <v>8</v>
      </c>
      <c r="I240">
        <v>14856</v>
      </c>
      <c r="J240" t="str">
        <v>No</v>
      </c>
    </row>
    <row r="241" spans="3:10" x14ac:dyDescent="0.25">
      <c r="C241">
        <v>10651</v>
      </c>
      <c r="D241" t="str">
        <v>Netherlands</v>
      </c>
      <c r="E241" t="str">
        <v>Montana</v>
      </c>
      <c r="F241">
        <v>200</v>
      </c>
      <c r="G241">
        <v>6</v>
      </c>
      <c r="H241">
        <v>8</v>
      </c>
      <c r="I241">
        <v>1600</v>
      </c>
      <c r="J241" t="str">
        <v>Yes</v>
      </c>
    </row>
    <row r="242" spans="3:10" x14ac:dyDescent="0.25">
      <c r="C242">
        <v>12396</v>
      </c>
      <c r="D242" t="str">
        <v>Spain</v>
      </c>
      <c r="E242" t="str">
        <v>Montana</v>
      </c>
      <c r="F242">
        <v>720</v>
      </c>
      <c r="G242">
        <v>5.05</v>
      </c>
      <c r="H242">
        <v>7</v>
      </c>
      <c r="I242">
        <v>5040</v>
      </c>
      <c r="J242" t="str">
        <v>Yes</v>
      </c>
    </row>
    <row r="243" spans="3:10" x14ac:dyDescent="0.25">
      <c r="C243">
        <v>54363</v>
      </c>
      <c r="D243" t="str">
        <v>Germany</v>
      </c>
      <c r="E243" t="str">
        <v>Montana</v>
      </c>
      <c r="F243">
        <v>2342</v>
      </c>
      <c r="G243">
        <v>5.37</v>
      </c>
      <c r="H243">
        <v>7</v>
      </c>
      <c r="I243">
        <v>16394</v>
      </c>
      <c r="J243" t="str">
        <v>No</v>
      </c>
    </row>
    <row r="244" spans="3:10" x14ac:dyDescent="0.25">
      <c r="C244">
        <v>48296</v>
      </c>
      <c r="D244" t="str">
        <v>Italy</v>
      </c>
      <c r="E244" t="str">
        <v>Montana</v>
      </c>
      <c r="F244">
        <v>677</v>
      </c>
      <c r="G244">
        <v>5.75</v>
      </c>
      <c r="H244">
        <v>9</v>
      </c>
      <c r="I244">
        <v>6093</v>
      </c>
      <c r="J244" t="str">
        <v>No</v>
      </c>
    </row>
    <row r="245" spans="3:10" x14ac:dyDescent="0.25">
      <c r="C245">
        <v>89136</v>
      </c>
      <c r="D245" t="str">
        <v>Ireland</v>
      </c>
      <c r="E245" t="str">
        <v>Montana</v>
      </c>
      <c r="F245">
        <v>2734</v>
      </c>
      <c r="G245">
        <v>5.0599999999999996</v>
      </c>
      <c r="H245">
        <v>6</v>
      </c>
      <c r="I245">
        <v>16404</v>
      </c>
      <c r="J245" t="str">
        <v>No</v>
      </c>
    </row>
    <row r="246" spans="3:10" x14ac:dyDescent="0.25">
      <c r="C246">
        <v>30484</v>
      </c>
      <c r="D246" t="str">
        <v>Ireland</v>
      </c>
      <c r="E246" t="str">
        <v>Montana</v>
      </c>
      <c r="F246">
        <v>1282</v>
      </c>
      <c r="G246">
        <v>5.45</v>
      </c>
      <c r="H246">
        <v>8</v>
      </c>
      <c r="I246">
        <v>10256</v>
      </c>
      <c r="J246" t="str">
        <v>No</v>
      </c>
    </row>
    <row r="247" spans="3:10" x14ac:dyDescent="0.25">
      <c r="C247">
        <v>43511</v>
      </c>
      <c r="D247" t="str">
        <v>Ireland</v>
      </c>
      <c r="E247" t="str">
        <v>Montana</v>
      </c>
      <c r="F247">
        <v>1375</v>
      </c>
      <c r="G247">
        <v>5.07</v>
      </c>
      <c r="H247">
        <v>6</v>
      </c>
      <c r="I247">
        <v>8250</v>
      </c>
      <c r="J247" t="str">
        <v>Yes</v>
      </c>
    </row>
    <row r="248" spans="3:10" x14ac:dyDescent="0.25">
      <c r="C248">
        <v>49271</v>
      </c>
      <c r="D248" t="str">
        <v>Spain</v>
      </c>
      <c r="E248" t="str">
        <v>Montana</v>
      </c>
      <c r="F248">
        <v>2340</v>
      </c>
      <c r="G248">
        <v>5.04</v>
      </c>
      <c r="H248">
        <v>6</v>
      </c>
      <c r="I248">
        <v>14040</v>
      </c>
      <c r="J248" t="str">
        <v>No</v>
      </c>
    </row>
    <row r="249" spans="3:10" x14ac:dyDescent="0.25">
      <c r="C249">
        <v>69292</v>
      </c>
      <c r="D249" t="str">
        <v>Germany</v>
      </c>
      <c r="E249" t="str">
        <v>Montana</v>
      </c>
      <c r="F249">
        <v>2992</v>
      </c>
      <c r="G249">
        <v>5.7</v>
      </c>
      <c r="H249">
        <v>9</v>
      </c>
      <c r="I249">
        <v>26928</v>
      </c>
      <c r="J249" t="str">
        <v>No</v>
      </c>
    </row>
    <row r="250" spans="3:10" x14ac:dyDescent="0.25">
      <c r="C250">
        <v>68886</v>
      </c>
      <c r="D250" t="str">
        <v>Netherlands</v>
      </c>
      <c r="E250" t="str">
        <v>Montana</v>
      </c>
      <c r="F250">
        <v>1283</v>
      </c>
      <c r="G250">
        <v>5.18</v>
      </c>
      <c r="H250">
        <v>6</v>
      </c>
      <c r="I250">
        <v>7698</v>
      </c>
      <c r="J250" t="str">
        <v>No</v>
      </c>
    </row>
    <row r="251" spans="3:10" x14ac:dyDescent="0.25">
      <c r="C251">
        <v>15265</v>
      </c>
      <c r="D251" t="str">
        <v>Germany</v>
      </c>
      <c r="E251" t="str">
        <v>Montana</v>
      </c>
      <c r="F251">
        <v>1545</v>
      </c>
      <c r="G251">
        <v>5.5</v>
      </c>
      <c r="H251">
        <v>7</v>
      </c>
      <c r="I251">
        <v>10815</v>
      </c>
      <c r="J251" t="str">
        <v>Yes</v>
      </c>
    </row>
    <row r="252" spans="3:10" x14ac:dyDescent="0.25">
      <c r="C252">
        <v>93104</v>
      </c>
      <c r="D252" t="str">
        <v>France</v>
      </c>
      <c r="E252" t="str">
        <v>Montana</v>
      </c>
      <c r="F252">
        <v>1773</v>
      </c>
      <c r="G252">
        <v>5.41</v>
      </c>
      <c r="H252">
        <v>6</v>
      </c>
      <c r="I252">
        <v>10638</v>
      </c>
      <c r="J252" t="str">
        <v>Yes</v>
      </c>
    </row>
    <row r="253" spans="3:10" x14ac:dyDescent="0.25">
      <c r="C253">
        <v>71398</v>
      </c>
      <c r="D253" t="str">
        <v>Italy</v>
      </c>
      <c r="E253" t="str">
        <v>Montana</v>
      </c>
      <c r="F253">
        <v>1804</v>
      </c>
      <c r="G253">
        <v>5.35</v>
      </c>
      <c r="H253">
        <v>9</v>
      </c>
      <c r="I253">
        <v>16236</v>
      </c>
      <c r="J253" t="str">
        <v>No</v>
      </c>
    </row>
    <row r="254" spans="3:10" x14ac:dyDescent="0.25">
      <c r="C254">
        <v>15241</v>
      </c>
      <c r="D254" t="str">
        <v>Italy</v>
      </c>
      <c r="E254" t="str">
        <v>Montana</v>
      </c>
      <c r="F254">
        <v>2996</v>
      </c>
      <c r="G254">
        <v>5.49</v>
      </c>
      <c r="H254">
        <v>6</v>
      </c>
      <c r="I254">
        <v>17976</v>
      </c>
      <c r="J254" t="str">
        <v>No</v>
      </c>
    </row>
    <row r="255" spans="3:10" x14ac:dyDescent="0.25">
      <c r="C255">
        <v>90080</v>
      </c>
      <c r="D255" t="str">
        <v>France</v>
      </c>
      <c r="E255" t="str">
        <v>Montana</v>
      </c>
      <c r="F255">
        <v>1976</v>
      </c>
      <c r="G255">
        <v>5.95</v>
      </c>
      <c r="H255">
        <v>7</v>
      </c>
      <c r="I255">
        <v>13832</v>
      </c>
      <c r="J255" t="str">
        <v>No</v>
      </c>
    </row>
    <row r="256" spans="3:10" x14ac:dyDescent="0.25">
      <c r="C256">
        <v>12740</v>
      </c>
      <c r="D256" t="str">
        <v>Netherlands</v>
      </c>
      <c r="E256" t="str">
        <v>Montana</v>
      </c>
      <c r="F256">
        <v>2851</v>
      </c>
      <c r="G256">
        <v>5.65</v>
      </c>
      <c r="H256">
        <v>7</v>
      </c>
      <c r="I256">
        <v>19957</v>
      </c>
      <c r="J256" t="str">
        <v>Yes</v>
      </c>
    </row>
    <row r="257" spans="3:10" x14ac:dyDescent="0.25">
      <c r="C257">
        <v>39769</v>
      </c>
      <c r="D257" t="str">
        <v>Spain</v>
      </c>
      <c r="E257" t="str">
        <v>Montana</v>
      </c>
      <c r="F257">
        <v>1727</v>
      </c>
      <c r="G257">
        <v>5.92</v>
      </c>
      <c r="H257">
        <v>9</v>
      </c>
      <c r="I257">
        <v>15543</v>
      </c>
      <c r="J257" t="str">
        <v>No</v>
      </c>
    </row>
    <row r="258" spans="3:10" x14ac:dyDescent="0.25">
      <c r="C258">
        <v>71600</v>
      </c>
      <c r="D258" t="str">
        <v>Italy</v>
      </c>
      <c r="E258" t="str">
        <v>Montana</v>
      </c>
      <c r="F258">
        <v>1566</v>
      </c>
      <c r="G258">
        <v>5.24</v>
      </c>
      <c r="H258">
        <v>6</v>
      </c>
      <c r="I258">
        <v>9396</v>
      </c>
      <c r="J258" t="str">
        <v>No</v>
      </c>
    </row>
    <row r="259" spans="3:10" x14ac:dyDescent="0.25">
      <c r="C259">
        <v>98235</v>
      </c>
      <c r="D259" t="str">
        <v>Netherlands</v>
      </c>
      <c r="E259" t="str">
        <v>Montana</v>
      </c>
      <c r="F259">
        <v>2665</v>
      </c>
      <c r="G259">
        <v>5.44</v>
      </c>
      <c r="H259">
        <v>8</v>
      </c>
      <c r="I259">
        <v>21320</v>
      </c>
      <c r="J259" t="str">
        <v>Yes</v>
      </c>
    </row>
    <row r="260" spans="3:10" x14ac:dyDescent="0.25">
      <c r="C260">
        <v>53330</v>
      </c>
      <c r="D260" t="str">
        <v>Spain</v>
      </c>
      <c r="E260" t="str">
        <v>Montana</v>
      </c>
      <c r="F260">
        <v>604</v>
      </c>
      <c r="G260">
        <v>5.0599999999999996</v>
      </c>
      <c r="H260">
        <v>6</v>
      </c>
      <c r="I260">
        <v>3624</v>
      </c>
      <c r="J260" t="str">
        <v>No</v>
      </c>
    </row>
    <row r="261" spans="3:10" x14ac:dyDescent="0.25">
      <c r="C261">
        <v>64154</v>
      </c>
      <c r="D261" t="str">
        <v>Spain</v>
      </c>
      <c r="E261" t="str">
        <v>Montana</v>
      </c>
      <c r="F261">
        <v>2470</v>
      </c>
      <c r="G261">
        <v>5.31</v>
      </c>
      <c r="H261">
        <v>7</v>
      </c>
      <c r="I261">
        <v>17290</v>
      </c>
      <c r="J261" t="str">
        <v>No</v>
      </c>
    </row>
    <row r="262" spans="3:10" x14ac:dyDescent="0.25">
      <c r="C262">
        <v>76952</v>
      </c>
      <c r="D262" t="str">
        <v>Ireland</v>
      </c>
      <c r="E262" t="str">
        <v>Montana</v>
      </c>
      <c r="F262">
        <v>980</v>
      </c>
      <c r="G262">
        <v>5.72</v>
      </c>
      <c r="H262">
        <v>7</v>
      </c>
      <c r="I262">
        <v>6860</v>
      </c>
      <c r="J262" t="str">
        <v>No</v>
      </c>
    </row>
    <row r="263" spans="3:10" x14ac:dyDescent="0.25">
      <c r="C263">
        <v>75053</v>
      </c>
      <c r="D263" t="str">
        <v>Netherlands</v>
      </c>
      <c r="E263" t="str">
        <v>Montana</v>
      </c>
      <c r="F263">
        <v>488</v>
      </c>
      <c r="G263">
        <v>5.22</v>
      </c>
      <c r="H263">
        <v>6</v>
      </c>
      <c r="I263">
        <v>2928</v>
      </c>
      <c r="J263" t="str">
        <v>No</v>
      </c>
    </row>
    <row r="264" spans="3:10" x14ac:dyDescent="0.25">
      <c r="C264">
        <v>89732</v>
      </c>
      <c r="D264" t="str">
        <v>Ireland</v>
      </c>
      <c r="E264" t="str">
        <v>Montana</v>
      </c>
      <c r="F264">
        <v>2342</v>
      </c>
      <c r="G264">
        <v>5.53</v>
      </c>
      <c r="H264">
        <v>6</v>
      </c>
      <c r="I264">
        <v>14052</v>
      </c>
      <c r="J264" t="str">
        <v>No</v>
      </c>
    </row>
    <row r="265" spans="3:10" x14ac:dyDescent="0.25">
      <c r="C265">
        <v>12028</v>
      </c>
      <c r="D265" t="str">
        <v>Ireland</v>
      </c>
      <c r="E265" t="str">
        <v>Montana</v>
      </c>
      <c r="F265">
        <v>1100</v>
      </c>
      <c r="G265">
        <v>5.51</v>
      </c>
      <c r="H265">
        <v>8</v>
      </c>
      <c r="I265">
        <v>8800</v>
      </c>
      <c r="J265" t="str">
        <v>Yes</v>
      </c>
    </row>
    <row r="266" spans="3:10" x14ac:dyDescent="0.25">
      <c r="C266">
        <v>47627</v>
      </c>
      <c r="D266" t="str">
        <v>Netherlands</v>
      </c>
      <c r="E266" t="str">
        <v>Montana</v>
      </c>
      <c r="F266">
        <v>2227</v>
      </c>
      <c r="G266">
        <v>5.84</v>
      </c>
      <c r="H266">
        <v>7</v>
      </c>
      <c r="I266">
        <v>15589</v>
      </c>
      <c r="J266" t="str">
        <v>Yes</v>
      </c>
    </row>
    <row r="267" spans="3:10" x14ac:dyDescent="0.25">
      <c r="C267">
        <v>89606</v>
      </c>
      <c r="D267" t="str">
        <v>Germany</v>
      </c>
      <c r="E267" t="str">
        <v>Montana</v>
      </c>
      <c r="F267">
        <v>766</v>
      </c>
      <c r="G267">
        <v>5.18</v>
      </c>
      <c r="H267">
        <v>7</v>
      </c>
      <c r="I267">
        <v>5362</v>
      </c>
      <c r="J267" t="str">
        <v>No</v>
      </c>
    </row>
    <row r="268" spans="3:10" x14ac:dyDescent="0.25">
      <c r="C268">
        <v>26096</v>
      </c>
      <c r="D268" t="str">
        <v>Ireland</v>
      </c>
      <c r="E268" t="str">
        <v>Montana</v>
      </c>
      <c r="F268">
        <v>2321</v>
      </c>
      <c r="G268">
        <v>5.35</v>
      </c>
      <c r="H268">
        <v>7</v>
      </c>
      <c r="I268">
        <v>16247</v>
      </c>
      <c r="J268" t="str">
        <v>Yes</v>
      </c>
    </row>
    <row r="269" spans="3:10" x14ac:dyDescent="0.25">
      <c r="C269">
        <v>68930</v>
      </c>
      <c r="D269" t="str">
        <v>Ireland</v>
      </c>
      <c r="E269" t="str">
        <v>Montana</v>
      </c>
      <c r="F269">
        <v>2072</v>
      </c>
      <c r="G269">
        <v>5.9</v>
      </c>
      <c r="H269">
        <v>9</v>
      </c>
      <c r="I269">
        <v>18648</v>
      </c>
      <c r="J269" t="str">
        <v>No</v>
      </c>
    </row>
    <row r="270" spans="3:10" x14ac:dyDescent="0.25">
      <c r="C270">
        <v>44373</v>
      </c>
      <c r="D270" t="str">
        <v>Germany</v>
      </c>
      <c r="E270" t="str">
        <v>Montana</v>
      </c>
      <c r="F270">
        <v>1706</v>
      </c>
      <c r="G270">
        <v>5.48</v>
      </c>
      <c r="H270">
        <v>6</v>
      </c>
      <c r="I270">
        <v>10236</v>
      </c>
      <c r="J270" t="str">
        <v>No</v>
      </c>
    </row>
    <row r="271" spans="3:10" x14ac:dyDescent="0.25">
      <c r="C271">
        <v>57406</v>
      </c>
      <c r="D271" t="str">
        <v>Germany</v>
      </c>
      <c r="E271" t="str">
        <v>Montana</v>
      </c>
      <c r="F271">
        <v>2021</v>
      </c>
      <c r="G271">
        <v>5.98</v>
      </c>
      <c r="H271">
        <v>8</v>
      </c>
      <c r="I271">
        <v>16168</v>
      </c>
      <c r="J271" t="str">
        <v>Yes</v>
      </c>
    </row>
    <row r="272" spans="3:10" x14ac:dyDescent="0.25">
      <c r="C272">
        <v>97483</v>
      </c>
      <c r="D272" t="str">
        <v>Ireland</v>
      </c>
      <c r="E272" t="str">
        <v>Montana</v>
      </c>
      <c r="F272">
        <v>1460</v>
      </c>
      <c r="G272">
        <v>5.38</v>
      </c>
      <c r="H272">
        <v>8</v>
      </c>
      <c r="I272">
        <v>11680</v>
      </c>
      <c r="J272" t="str">
        <v>Yes</v>
      </c>
    </row>
    <row r="273" spans="3:10" x14ac:dyDescent="0.25">
      <c r="C273">
        <v>39556</v>
      </c>
      <c r="D273" t="str">
        <v>Italy</v>
      </c>
      <c r="E273" t="str">
        <v>Montana</v>
      </c>
      <c r="F273">
        <v>2031</v>
      </c>
      <c r="G273">
        <v>5.95</v>
      </c>
      <c r="H273">
        <v>9</v>
      </c>
      <c r="I273">
        <v>18279</v>
      </c>
      <c r="J273" t="str">
        <v>Yes</v>
      </c>
    </row>
    <row r="274" spans="3:10" x14ac:dyDescent="0.25">
      <c r="C274">
        <v>72877</v>
      </c>
      <c r="D274" t="str">
        <v>Netherlands</v>
      </c>
      <c r="E274" t="str">
        <v>Montana</v>
      </c>
      <c r="F274">
        <v>388</v>
      </c>
      <c r="G274">
        <v>5.35</v>
      </c>
      <c r="H274">
        <v>8</v>
      </c>
      <c r="I274">
        <v>3104</v>
      </c>
      <c r="J274" t="str">
        <v>No</v>
      </c>
    </row>
    <row r="275" spans="3:10" x14ac:dyDescent="0.25">
      <c r="C275">
        <v>96005</v>
      </c>
      <c r="D275" t="str">
        <v>Italy</v>
      </c>
      <c r="E275" t="str">
        <v>Montana</v>
      </c>
      <c r="F275">
        <v>1142</v>
      </c>
      <c r="G275">
        <v>5.37</v>
      </c>
      <c r="H275">
        <v>7</v>
      </c>
      <c r="I275">
        <v>7994</v>
      </c>
      <c r="J275" t="str">
        <v>Yes</v>
      </c>
    </row>
    <row r="276" spans="3:10" x14ac:dyDescent="0.25">
      <c r="C276">
        <v>62639</v>
      </c>
      <c r="D276" t="str">
        <v>Italy</v>
      </c>
      <c r="E276" t="str">
        <v>Montana</v>
      </c>
      <c r="F276">
        <v>2328</v>
      </c>
      <c r="G276">
        <v>5.37</v>
      </c>
      <c r="H276">
        <v>7</v>
      </c>
      <c r="I276">
        <v>16296</v>
      </c>
      <c r="J276" t="str">
        <v>Yes</v>
      </c>
    </row>
    <row r="277" spans="3:10" x14ac:dyDescent="0.25">
      <c r="C277">
        <v>92343</v>
      </c>
      <c r="D277" t="str">
        <v>Netherlands</v>
      </c>
      <c r="E277" t="str">
        <v>Montana</v>
      </c>
      <c r="F277">
        <v>2518</v>
      </c>
      <c r="G277">
        <v>5.98</v>
      </c>
      <c r="H277">
        <v>9</v>
      </c>
      <c r="I277">
        <v>22662</v>
      </c>
      <c r="J277" t="str">
        <v>Yes</v>
      </c>
    </row>
    <row r="278" spans="3:10" x14ac:dyDescent="0.25">
      <c r="C278">
        <v>84496</v>
      </c>
      <c r="D278" t="str">
        <v>Spain</v>
      </c>
      <c r="E278" t="str">
        <v>Montana</v>
      </c>
      <c r="F278">
        <v>1368</v>
      </c>
      <c r="G278">
        <v>5.61</v>
      </c>
      <c r="H278">
        <v>6</v>
      </c>
      <c r="I278">
        <v>8208</v>
      </c>
      <c r="J278" t="str">
        <v>Yes</v>
      </c>
    </row>
    <row r="279" spans="3:10" x14ac:dyDescent="0.25">
      <c r="C279">
        <v>63916</v>
      </c>
      <c r="D279" t="str">
        <v>Netherlands</v>
      </c>
      <c r="E279" t="str">
        <v>Montana</v>
      </c>
      <c r="F279">
        <v>1249</v>
      </c>
      <c r="G279">
        <v>5.7</v>
      </c>
      <c r="H279">
        <v>8</v>
      </c>
      <c r="I279">
        <v>9992</v>
      </c>
      <c r="J279" t="str">
        <v>No</v>
      </c>
    </row>
    <row r="280" spans="3:10" x14ac:dyDescent="0.25">
      <c r="C280">
        <v>92123</v>
      </c>
      <c r="D280" t="str">
        <v>Italy</v>
      </c>
      <c r="E280" t="str">
        <v>Montana</v>
      </c>
      <c r="F280">
        <v>2723</v>
      </c>
      <c r="G280">
        <v>5.9</v>
      </c>
      <c r="H280">
        <v>9</v>
      </c>
      <c r="I280">
        <v>24507</v>
      </c>
      <c r="J280" t="str">
        <v>Yes</v>
      </c>
    </row>
    <row r="281" spans="3:10" x14ac:dyDescent="0.25">
      <c r="C281">
        <v>98174</v>
      </c>
      <c r="D281" t="str">
        <v>Netherlands</v>
      </c>
      <c r="E281" t="str">
        <v>Montana</v>
      </c>
      <c r="F281">
        <v>345</v>
      </c>
      <c r="G281">
        <v>5.43</v>
      </c>
      <c r="H281">
        <v>8</v>
      </c>
      <c r="I281">
        <v>2760</v>
      </c>
      <c r="J281" t="str">
        <v>No</v>
      </c>
    </row>
    <row r="282" spans="3:10" x14ac:dyDescent="0.25">
      <c r="C282">
        <v>48322</v>
      </c>
      <c r="D282" t="str">
        <v>Spain</v>
      </c>
      <c r="E282" t="str">
        <v>Montana</v>
      </c>
      <c r="F282">
        <v>1715</v>
      </c>
      <c r="G282">
        <v>5.88</v>
      </c>
      <c r="H282">
        <v>9</v>
      </c>
      <c r="I282">
        <v>15435</v>
      </c>
      <c r="J282" t="str">
        <v>No</v>
      </c>
    </row>
    <row r="283" spans="3:10" x14ac:dyDescent="0.25">
      <c r="C283">
        <v>35944</v>
      </c>
      <c r="D283" t="str">
        <v>Spain</v>
      </c>
      <c r="E283" t="str">
        <v>Montana</v>
      </c>
      <c r="F283">
        <v>2214</v>
      </c>
      <c r="G283">
        <v>5.19</v>
      </c>
      <c r="H283">
        <v>7</v>
      </c>
      <c r="I283">
        <v>15498</v>
      </c>
      <c r="J283" t="str">
        <v>No</v>
      </c>
    </row>
    <row r="284" spans="3:10" x14ac:dyDescent="0.25">
      <c r="C284">
        <v>43580</v>
      </c>
      <c r="D284" t="str">
        <v>France</v>
      </c>
      <c r="E284" t="str">
        <v>Montana</v>
      </c>
      <c r="F284">
        <v>322</v>
      </c>
      <c r="G284">
        <v>5.0999999999999996</v>
      </c>
      <c r="H284">
        <v>7</v>
      </c>
      <c r="I284">
        <v>2254</v>
      </c>
      <c r="J284" t="str">
        <v>No</v>
      </c>
    </row>
    <row r="285" spans="3:10" x14ac:dyDescent="0.25">
      <c r="C285">
        <v>17410</v>
      </c>
      <c r="D285" t="str">
        <v>Italy</v>
      </c>
      <c r="E285" t="str">
        <v>Paseo</v>
      </c>
      <c r="F285">
        <v>1514</v>
      </c>
      <c r="G285">
        <v>10.77</v>
      </c>
      <c r="H285">
        <v>17</v>
      </c>
      <c r="I285">
        <v>25738</v>
      </c>
      <c r="J285" t="str">
        <v>No</v>
      </c>
    </row>
    <row r="286" spans="3:10" x14ac:dyDescent="0.25">
      <c r="C286">
        <v>57344</v>
      </c>
      <c r="D286" t="str">
        <v>Netherlands</v>
      </c>
      <c r="E286" t="str">
        <v>Paseo</v>
      </c>
      <c r="F286">
        <v>1389</v>
      </c>
      <c r="G286">
        <v>10.76</v>
      </c>
      <c r="H286">
        <v>12</v>
      </c>
      <c r="I286">
        <v>16668</v>
      </c>
      <c r="J286" t="str">
        <v>Yes</v>
      </c>
    </row>
    <row r="287" spans="3:10" x14ac:dyDescent="0.25">
      <c r="C287">
        <v>28903</v>
      </c>
      <c r="D287" t="str">
        <v>France</v>
      </c>
      <c r="E287" t="str">
        <v>Paseo</v>
      </c>
      <c r="F287">
        <v>2434</v>
      </c>
      <c r="G287">
        <v>10.63</v>
      </c>
      <c r="H287">
        <v>14</v>
      </c>
      <c r="I287">
        <v>34076</v>
      </c>
      <c r="J287" t="str">
        <v>No</v>
      </c>
    </row>
    <row r="288" spans="3:10" x14ac:dyDescent="0.25">
      <c r="C288">
        <v>13567</v>
      </c>
      <c r="D288" t="str">
        <v>Italy</v>
      </c>
      <c r="E288" t="str">
        <v>Paseo</v>
      </c>
      <c r="F288">
        <v>2992</v>
      </c>
      <c r="G288">
        <v>10.67</v>
      </c>
      <c r="H288">
        <v>16</v>
      </c>
      <c r="I288">
        <v>47872</v>
      </c>
      <c r="J288" t="str">
        <v>Yes</v>
      </c>
    </row>
    <row r="289" spans="3:10" x14ac:dyDescent="0.25">
      <c r="C289">
        <v>53030</v>
      </c>
      <c r="D289" t="str">
        <v>Italy</v>
      </c>
      <c r="E289" t="str">
        <v>Paseo</v>
      </c>
      <c r="F289">
        <v>2007</v>
      </c>
      <c r="G289">
        <v>10.55</v>
      </c>
      <c r="H289">
        <v>15</v>
      </c>
      <c r="I289">
        <v>30105</v>
      </c>
      <c r="J289" t="str">
        <v>No</v>
      </c>
    </row>
    <row r="290" spans="3:10" x14ac:dyDescent="0.25">
      <c r="C290">
        <v>96672</v>
      </c>
      <c r="D290" t="str">
        <v>Germany</v>
      </c>
      <c r="E290" t="str">
        <v>Paseo</v>
      </c>
      <c r="F290">
        <v>1013</v>
      </c>
      <c r="G290">
        <v>10.19</v>
      </c>
      <c r="H290">
        <v>15</v>
      </c>
      <c r="I290">
        <v>15195</v>
      </c>
      <c r="J290" t="str">
        <v>No</v>
      </c>
    </row>
    <row r="291" spans="3:10" x14ac:dyDescent="0.25">
      <c r="C291">
        <v>46145</v>
      </c>
      <c r="D291" t="str">
        <v>Germany</v>
      </c>
      <c r="E291" t="str">
        <v>Paseo</v>
      </c>
      <c r="F291">
        <v>1775</v>
      </c>
      <c r="G291">
        <v>11</v>
      </c>
      <c r="H291">
        <v>15</v>
      </c>
      <c r="I291">
        <v>26625</v>
      </c>
      <c r="J291" t="str">
        <v>Yes</v>
      </c>
    </row>
    <row r="292" spans="3:10" x14ac:dyDescent="0.25">
      <c r="C292">
        <v>78783</v>
      </c>
      <c r="D292" t="str">
        <v>Netherlands</v>
      </c>
      <c r="E292" t="str">
        <v>Paseo</v>
      </c>
      <c r="F292">
        <v>2363</v>
      </c>
      <c r="G292">
        <v>10.58</v>
      </c>
      <c r="H292">
        <v>16</v>
      </c>
      <c r="I292">
        <v>37808</v>
      </c>
      <c r="J292" t="str">
        <v>Yes</v>
      </c>
    </row>
    <row r="293" spans="3:10" x14ac:dyDescent="0.25">
      <c r="C293">
        <v>67030</v>
      </c>
      <c r="D293" t="str">
        <v>France</v>
      </c>
      <c r="E293" t="str">
        <v>Paseo</v>
      </c>
      <c r="F293">
        <v>3945</v>
      </c>
      <c r="G293">
        <v>10.46</v>
      </c>
      <c r="H293">
        <v>13</v>
      </c>
      <c r="I293">
        <v>51285</v>
      </c>
      <c r="J293" t="str">
        <v>No</v>
      </c>
    </row>
    <row r="294" spans="3:10" x14ac:dyDescent="0.25">
      <c r="C294">
        <v>27807</v>
      </c>
      <c r="D294" t="str">
        <v>Italy</v>
      </c>
      <c r="E294" t="str">
        <v>Paseo</v>
      </c>
      <c r="F294">
        <v>1767</v>
      </c>
      <c r="G294">
        <v>10.32</v>
      </c>
      <c r="H294">
        <v>15</v>
      </c>
      <c r="I294">
        <v>26505</v>
      </c>
      <c r="J294" t="str">
        <v>Yes</v>
      </c>
    </row>
    <row r="295" spans="3:10" x14ac:dyDescent="0.25">
      <c r="C295">
        <v>85111</v>
      </c>
      <c r="D295" t="str">
        <v>France</v>
      </c>
      <c r="E295" t="str">
        <v>Paseo</v>
      </c>
      <c r="F295">
        <v>1303</v>
      </c>
      <c r="G295">
        <v>10.23</v>
      </c>
      <c r="H295">
        <v>13</v>
      </c>
      <c r="I295">
        <v>16939</v>
      </c>
      <c r="J295" t="str">
        <v>No</v>
      </c>
    </row>
    <row r="296" spans="3:10" x14ac:dyDescent="0.25">
      <c r="C296">
        <v>90552</v>
      </c>
      <c r="D296" t="str">
        <v>Spain</v>
      </c>
      <c r="E296" t="str">
        <v>Paseo</v>
      </c>
      <c r="F296">
        <v>1514</v>
      </c>
      <c r="G296">
        <v>10.5</v>
      </c>
      <c r="H296">
        <v>13</v>
      </c>
      <c r="I296">
        <v>19682</v>
      </c>
      <c r="J296" t="str">
        <v>No</v>
      </c>
    </row>
    <row r="297" spans="3:10" x14ac:dyDescent="0.25">
      <c r="C297">
        <v>78506</v>
      </c>
      <c r="D297" t="str">
        <v>Ireland</v>
      </c>
      <c r="E297" t="str">
        <v>Paseo</v>
      </c>
      <c r="F297">
        <v>1142</v>
      </c>
      <c r="G297">
        <v>10.46</v>
      </c>
      <c r="H297">
        <v>14</v>
      </c>
      <c r="I297">
        <v>15988</v>
      </c>
      <c r="J297" t="str">
        <v>Yes</v>
      </c>
    </row>
    <row r="298" spans="3:10" x14ac:dyDescent="0.25">
      <c r="C298">
        <v>38120</v>
      </c>
      <c r="D298" t="str">
        <v>Germany</v>
      </c>
      <c r="E298" t="str">
        <v>Paseo</v>
      </c>
      <c r="F298">
        <v>1175</v>
      </c>
      <c r="G298">
        <v>10.7</v>
      </c>
      <c r="H298">
        <v>12</v>
      </c>
      <c r="I298">
        <v>14100</v>
      </c>
      <c r="J298" t="str">
        <v>No</v>
      </c>
    </row>
    <row r="299" spans="3:10" x14ac:dyDescent="0.25">
      <c r="C299">
        <v>22948</v>
      </c>
      <c r="D299" t="str">
        <v>Ireland</v>
      </c>
      <c r="E299" t="str">
        <v>Paseo</v>
      </c>
      <c r="F299">
        <v>991</v>
      </c>
      <c r="G299">
        <v>10.199999999999999</v>
      </c>
      <c r="H299">
        <v>14</v>
      </c>
      <c r="I299">
        <v>13874</v>
      </c>
      <c r="J299" t="str">
        <v>Yes</v>
      </c>
    </row>
    <row r="300" spans="3:10" x14ac:dyDescent="0.25">
      <c r="C300">
        <v>82668</v>
      </c>
      <c r="D300" t="str">
        <v>France</v>
      </c>
      <c r="E300" t="str">
        <v>Paseo</v>
      </c>
      <c r="F300">
        <v>2988</v>
      </c>
      <c r="G300">
        <v>10.84</v>
      </c>
      <c r="H300">
        <v>12</v>
      </c>
      <c r="I300">
        <v>35856</v>
      </c>
      <c r="J300" t="str">
        <v>No</v>
      </c>
    </row>
    <row r="301" spans="3:10" x14ac:dyDescent="0.25">
      <c r="C301">
        <v>48477</v>
      </c>
      <c r="D301" t="str">
        <v>Italy</v>
      </c>
      <c r="E301" t="str">
        <v>Paseo</v>
      </c>
      <c r="F301">
        <v>912</v>
      </c>
      <c r="G301">
        <v>10.66</v>
      </c>
      <c r="H301">
        <v>16</v>
      </c>
      <c r="I301">
        <v>14592</v>
      </c>
      <c r="J301" t="str">
        <v>Yes</v>
      </c>
    </row>
    <row r="302" spans="3:10" x14ac:dyDescent="0.25">
      <c r="C302">
        <v>18671</v>
      </c>
      <c r="D302" t="str">
        <v>Netherlands</v>
      </c>
      <c r="E302" t="str">
        <v>Paseo</v>
      </c>
      <c r="F302">
        <v>2431</v>
      </c>
      <c r="G302">
        <v>10.95</v>
      </c>
      <c r="H302">
        <v>12</v>
      </c>
      <c r="I302">
        <v>29172</v>
      </c>
      <c r="J302" t="str">
        <v>No</v>
      </c>
    </row>
    <row r="303" spans="3:10" x14ac:dyDescent="0.25">
      <c r="C303">
        <v>78612</v>
      </c>
      <c r="D303" t="str">
        <v>Netherlands</v>
      </c>
      <c r="E303" t="str">
        <v>Paseo</v>
      </c>
      <c r="F303">
        <v>1614</v>
      </c>
      <c r="G303">
        <v>10.93</v>
      </c>
      <c r="H303">
        <v>13</v>
      </c>
      <c r="I303">
        <v>20982</v>
      </c>
      <c r="J303" t="str">
        <v>Yes</v>
      </c>
    </row>
    <row r="304" spans="3:10" x14ac:dyDescent="0.25">
      <c r="C304">
        <v>79601</v>
      </c>
      <c r="D304" t="str">
        <v>Netherlands</v>
      </c>
      <c r="E304" t="str">
        <v>Paseo</v>
      </c>
      <c r="F304">
        <v>2729</v>
      </c>
      <c r="G304">
        <v>10.62</v>
      </c>
      <c r="H304">
        <v>13</v>
      </c>
      <c r="I304">
        <v>35477</v>
      </c>
      <c r="J304" t="str">
        <v>Yes</v>
      </c>
    </row>
    <row r="305" spans="3:10" x14ac:dyDescent="0.25">
      <c r="C305">
        <v>74220</v>
      </c>
      <c r="D305" t="str">
        <v>Germany</v>
      </c>
      <c r="E305" t="str">
        <v>Paseo</v>
      </c>
      <c r="F305">
        <v>2349</v>
      </c>
      <c r="G305">
        <v>10.35</v>
      </c>
      <c r="H305">
        <v>16</v>
      </c>
      <c r="I305">
        <v>37584</v>
      </c>
      <c r="J305" t="str">
        <v>Yes</v>
      </c>
    </row>
    <row r="306" spans="3:10" x14ac:dyDescent="0.25">
      <c r="C306">
        <v>49882</v>
      </c>
      <c r="D306" t="str">
        <v>Italy</v>
      </c>
      <c r="E306" t="str">
        <v>Paseo</v>
      </c>
      <c r="F306">
        <v>2905</v>
      </c>
      <c r="G306">
        <v>10.24</v>
      </c>
      <c r="H306">
        <v>14</v>
      </c>
      <c r="I306">
        <v>40670</v>
      </c>
      <c r="J306" t="str">
        <v>Yes</v>
      </c>
    </row>
    <row r="307" spans="3:10" x14ac:dyDescent="0.25">
      <c r="C307">
        <v>64056</v>
      </c>
      <c r="D307" t="str">
        <v>Germany</v>
      </c>
      <c r="E307" t="str">
        <v>Paseo</v>
      </c>
      <c r="F307">
        <v>809</v>
      </c>
      <c r="G307">
        <v>10.97</v>
      </c>
      <c r="H307">
        <v>13</v>
      </c>
      <c r="I307">
        <v>10517</v>
      </c>
      <c r="J307" t="str">
        <v>Yes</v>
      </c>
    </row>
    <row r="308" spans="3:10" x14ac:dyDescent="0.25">
      <c r="C308">
        <v>75754</v>
      </c>
      <c r="D308" t="str">
        <v>Spain</v>
      </c>
      <c r="E308" t="str">
        <v>Paseo</v>
      </c>
      <c r="F308">
        <v>1038</v>
      </c>
      <c r="G308">
        <v>10.25</v>
      </c>
      <c r="H308">
        <v>11</v>
      </c>
      <c r="I308">
        <v>11418</v>
      </c>
      <c r="J308" t="str">
        <v>No</v>
      </c>
    </row>
    <row r="309" spans="3:10" x14ac:dyDescent="0.25">
      <c r="C309">
        <v>70035</v>
      </c>
      <c r="D309" t="str">
        <v>France</v>
      </c>
      <c r="E309" t="str">
        <v>Paseo</v>
      </c>
      <c r="F309">
        <v>886</v>
      </c>
      <c r="G309">
        <v>10.59</v>
      </c>
      <c r="H309">
        <v>14</v>
      </c>
      <c r="I309">
        <v>12404</v>
      </c>
      <c r="J309" t="str">
        <v>Yes</v>
      </c>
    </row>
    <row r="310" spans="3:10" x14ac:dyDescent="0.25">
      <c r="C310">
        <v>33237</v>
      </c>
      <c r="D310" t="str">
        <v>Ireland</v>
      </c>
      <c r="E310" t="str">
        <v>Paseo</v>
      </c>
      <c r="F310">
        <v>2620</v>
      </c>
      <c r="G310">
        <v>10.75</v>
      </c>
      <c r="H310">
        <v>16</v>
      </c>
      <c r="I310">
        <v>41920</v>
      </c>
      <c r="J310" t="str">
        <v>No</v>
      </c>
    </row>
    <row r="311" spans="3:10" x14ac:dyDescent="0.25">
      <c r="C311">
        <v>81742</v>
      </c>
      <c r="D311" t="str">
        <v>France</v>
      </c>
      <c r="E311" t="str">
        <v>Paseo</v>
      </c>
      <c r="F311">
        <v>2441</v>
      </c>
      <c r="G311">
        <v>10.44</v>
      </c>
      <c r="H311">
        <v>11</v>
      </c>
      <c r="I311">
        <v>26851</v>
      </c>
      <c r="J311" t="str">
        <v>No</v>
      </c>
    </row>
    <row r="312" spans="3:10" x14ac:dyDescent="0.25">
      <c r="C312">
        <v>45751</v>
      </c>
      <c r="D312" t="str">
        <v>Ireland</v>
      </c>
      <c r="E312" t="str">
        <v>Paseo</v>
      </c>
      <c r="F312">
        <v>367</v>
      </c>
      <c r="G312">
        <v>10.050000000000001</v>
      </c>
      <c r="H312">
        <v>13</v>
      </c>
      <c r="I312">
        <v>4771</v>
      </c>
      <c r="J312" t="str">
        <v>No</v>
      </c>
    </row>
    <row r="313" spans="3:10" x14ac:dyDescent="0.25">
      <c r="C313">
        <v>67288</v>
      </c>
      <c r="D313" t="str">
        <v>France</v>
      </c>
      <c r="E313" t="str">
        <v>Paseo</v>
      </c>
      <c r="F313">
        <v>1901</v>
      </c>
      <c r="G313">
        <v>10.52</v>
      </c>
      <c r="H313">
        <v>15</v>
      </c>
      <c r="I313">
        <v>28515</v>
      </c>
      <c r="J313" t="str">
        <v>Yes</v>
      </c>
    </row>
    <row r="314" spans="3:10" x14ac:dyDescent="0.25">
      <c r="C314">
        <v>61176</v>
      </c>
      <c r="D314" t="str">
        <v>Netherlands</v>
      </c>
      <c r="E314" t="str">
        <v>Paseo</v>
      </c>
      <c r="F314">
        <v>1249</v>
      </c>
      <c r="G314">
        <v>10.06</v>
      </c>
      <c r="H314">
        <v>11</v>
      </c>
      <c r="I314">
        <v>13739</v>
      </c>
      <c r="J314" t="str">
        <v>No</v>
      </c>
    </row>
    <row r="315" spans="3:10" x14ac:dyDescent="0.25">
      <c r="C315">
        <v>15510</v>
      </c>
      <c r="D315" t="str">
        <v>Italy</v>
      </c>
      <c r="E315" t="str">
        <v>Paseo</v>
      </c>
      <c r="F315">
        <v>1056</v>
      </c>
      <c r="G315">
        <v>10.51</v>
      </c>
      <c r="H315">
        <v>12</v>
      </c>
      <c r="I315">
        <v>12672</v>
      </c>
      <c r="J315" t="str">
        <v>Yes</v>
      </c>
    </row>
    <row r="316" spans="3:10" x14ac:dyDescent="0.25">
      <c r="C316">
        <v>67940</v>
      </c>
      <c r="D316" t="str">
        <v>Spain</v>
      </c>
      <c r="E316" t="str">
        <v>Paseo</v>
      </c>
      <c r="F316">
        <v>2031</v>
      </c>
      <c r="G316">
        <v>10.66</v>
      </c>
      <c r="H316">
        <v>14</v>
      </c>
      <c r="I316">
        <v>28434</v>
      </c>
      <c r="J316" t="str">
        <v>No</v>
      </c>
    </row>
    <row r="317" spans="3:10" x14ac:dyDescent="0.25">
      <c r="C317">
        <v>86432</v>
      </c>
      <c r="D317" t="str">
        <v>Italy</v>
      </c>
      <c r="E317" t="str">
        <v>Paseo</v>
      </c>
      <c r="F317">
        <v>1366</v>
      </c>
      <c r="G317">
        <v>10.86</v>
      </c>
      <c r="H317">
        <v>12</v>
      </c>
      <c r="I317">
        <v>16392</v>
      </c>
      <c r="J317" t="str">
        <v>Yes</v>
      </c>
    </row>
    <row r="318" spans="3:10" x14ac:dyDescent="0.25">
      <c r="C318">
        <v>48811</v>
      </c>
      <c r="D318" t="str">
        <v>Ireland</v>
      </c>
      <c r="E318" t="str">
        <v>Paseo</v>
      </c>
      <c r="F318">
        <v>2296</v>
      </c>
      <c r="G318">
        <v>10.86</v>
      </c>
      <c r="H318">
        <v>13</v>
      </c>
      <c r="I318">
        <v>29848</v>
      </c>
      <c r="J318" t="str">
        <v>No</v>
      </c>
    </row>
    <row r="319" spans="3:10" x14ac:dyDescent="0.25">
      <c r="C319">
        <v>55415</v>
      </c>
      <c r="D319" t="str">
        <v>Italy</v>
      </c>
      <c r="E319" t="str">
        <v>Paseo</v>
      </c>
      <c r="F319">
        <v>2914</v>
      </c>
      <c r="G319">
        <v>10.91</v>
      </c>
      <c r="H319">
        <v>14</v>
      </c>
      <c r="I319">
        <v>40796</v>
      </c>
      <c r="J319" t="str">
        <v>No</v>
      </c>
    </row>
    <row r="320" spans="3:10" x14ac:dyDescent="0.25">
      <c r="C320">
        <v>36787</v>
      </c>
      <c r="D320" t="str">
        <v>Ireland</v>
      </c>
      <c r="E320" t="str">
        <v>Paseo</v>
      </c>
      <c r="F320">
        <v>2156</v>
      </c>
      <c r="G320">
        <v>10.54</v>
      </c>
      <c r="H320">
        <v>12</v>
      </c>
      <c r="I320">
        <v>25872</v>
      </c>
      <c r="J320" t="str">
        <v>Yes</v>
      </c>
    </row>
    <row r="321" spans="3:10" x14ac:dyDescent="0.25">
      <c r="C321">
        <v>27427</v>
      </c>
      <c r="D321" t="str">
        <v>Netherlands</v>
      </c>
      <c r="E321" t="str">
        <v>Paseo</v>
      </c>
      <c r="F321">
        <v>2299</v>
      </c>
      <c r="G321">
        <v>10.23</v>
      </c>
      <c r="H321">
        <v>13</v>
      </c>
      <c r="I321">
        <v>29887</v>
      </c>
      <c r="J321" t="str">
        <v>No</v>
      </c>
    </row>
    <row r="322" spans="3:10" x14ac:dyDescent="0.25">
      <c r="C322">
        <v>93465</v>
      </c>
      <c r="D322" t="str">
        <v>Ireland</v>
      </c>
      <c r="E322" t="str">
        <v>Paseo</v>
      </c>
      <c r="F322">
        <v>914</v>
      </c>
      <c r="G322">
        <v>10.31</v>
      </c>
      <c r="H322">
        <v>12</v>
      </c>
      <c r="I322">
        <v>10968</v>
      </c>
      <c r="J322" t="str">
        <v>No</v>
      </c>
    </row>
    <row r="323" spans="3:10" x14ac:dyDescent="0.25">
      <c r="C323">
        <v>68602</v>
      </c>
      <c r="D323" t="str">
        <v>Germany</v>
      </c>
      <c r="E323" t="str">
        <v>Paseo</v>
      </c>
      <c r="F323">
        <v>357</v>
      </c>
      <c r="G323">
        <v>10.81</v>
      </c>
      <c r="H323">
        <v>15</v>
      </c>
      <c r="I323">
        <v>5355</v>
      </c>
      <c r="J323" t="str">
        <v>Yes</v>
      </c>
    </row>
    <row r="324" spans="3:10" x14ac:dyDescent="0.25">
      <c r="C324">
        <v>37910</v>
      </c>
      <c r="D324" t="str">
        <v>Italy</v>
      </c>
      <c r="E324" t="str">
        <v>Paseo</v>
      </c>
      <c r="F324">
        <v>3450</v>
      </c>
      <c r="G324">
        <v>10.75</v>
      </c>
      <c r="H324">
        <v>13</v>
      </c>
      <c r="I324">
        <v>44850</v>
      </c>
      <c r="J324" t="str">
        <v>Yes</v>
      </c>
    </row>
    <row r="325" spans="3:10" x14ac:dyDescent="0.25">
      <c r="C325">
        <v>13662</v>
      </c>
      <c r="D325" t="str">
        <v>Ireland</v>
      </c>
      <c r="E325" t="str">
        <v>Paseo</v>
      </c>
      <c r="F325">
        <v>1414</v>
      </c>
      <c r="G325">
        <v>10.49</v>
      </c>
      <c r="H325">
        <v>13</v>
      </c>
      <c r="I325">
        <v>18382</v>
      </c>
      <c r="J325" t="str">
        <v>Yes</v>
      </c>
    </row>
    <row r="326" spans="3:10" x14ac:dyDescent="0.25">
      <c r="C326">
        <v>40760</v>
      </c>
      <c r="D326" t="str">
        <v>Germany</v>
      </c>
      <c r="E326" t="str">
        <v>Paseo</v>
      </c>
      <c r="F326">
        <v>807</v>
      </c>
      <c r="G326">
        <v>10.06</v>
      </c>
      <c r="H326">
        <v>13</v>
      </c>
      <c r="I326">
        <v>10491</v>
      </c>
      <c r="J326" t="str">
        <v>Yes</v>
      </c>
    </row>
    <row r="327" spans="3:10" x14ac:dyDescent="0.25">
      <c r="C327">
        <v>48596</v>
      </c>
      <c r="D327" t="str">
        <v>Netherlands</v>
      </c>
      <c r="E327" t="str">
        <v>Paseo</v>
      </c>
      <c r="F327">
        <v>1916</v>
      </c>
      <c r="G327">
        <v>10.44</v>
      </c>
      <c r="H327">
        <v>13</v>
      </c>
      <c r="I327">
        <v>24908</v>
      </c>
      <c r="J327" t="str">
        <v>Yes</v>
      </c>
    </row>
    <row r="328" spans="3:10" x14ac:dyDescent="0.25">
      <c r="C328">
        <v>14872</v>
      </c>
      <c r="D328" t="str">
        <v>Netherlands</v>
      </c>
      <c r="E328" t="str">
        <v>Paseo</v>
      </c>
      <c r="F328">
        <v>2009</v>
      </c>
      <c r="G328">
        <v>10.79</v>
      </c>
      <c r="H328">
        <v>15</v>
      </c>
      <c r="I328">
        <v>30135</v>
      </c>
      <c r="J328" t="str">
        <v>No</v>
      </c>
    </row>
    <row r="329" spans="3:10" x14ac:dyDescent="0.25">
      <c r="C329">
        <v>87160</v>
      </c>
      <c r="D329" t="str">
        <v>Italy</v>
      </c>
      <c r="E329" t="str">
        <v>Paseo</v>
      </c>
      <c r="F329">
        <v>1143</v>
      </c>
      <c r="G329">
        <v>10.78</v>
      </c>
      <c r="H329">
        <v>14</v>
      </c>
      <c r="I329">
        <v>16002</v>
      </c>
      <c r="J329" t="str">
        <v>Yes</v>
      </c>
    </row>
    <row r="330" spans="3:10" x14ac:dyDescent="0.25">
      <c r="C330">
        <v>20097</v>
      </c>
      <c r="D330" t="str">
        <v>Netherlands</v>
      </c>
      <c r="E330" t="str">
        <v>Paseo</v>
      </c>
      <c r="F330">
        <v>1743</v>
      </c>
      <c r="G330">
        <v>10.33</v>
      </c>
      <c r="H330">
        <v>12</v>
      </c>
      <c r="I330">
        <v>20916</v>
      </c>
      <c r="J330" t="str">
        <v>No</v>
      </c>
    </row>
    <row r="331" spans="3:10" x14ac:dyDescent="0.25">
      <c r="C331">
        <v>29006</v>
      </c>
      <c r="D331" t="str">
        <v>Ireland</v>
      </c>
      <c r="E331" t="str">
        <v>Paseo</v>
      </c>
      <c r="F331">
        <v>2708</v>
      </c>
      <c r="G331">
        <v>10.11</v>
      </c>
      <c r="H331">
        <v>12</v>
      </c>
      <c r="I331">
        <v>32496</v>
      </c>
      <c r="J331" t="str">
        <v>Yes</v>
      </c>
    </row>
    <row r="332" spans="3:10" x14ac:dyDescent="0.25">
      <c r="C332">
        <v>53305</v>
      </c>
      <c r="D332" t="str">
        <v>Ireland</v>
      </c>
      <c r="E332" t="str">
        <v>Paseo</v>
      </c>
      <c r="F332">
        <v>591</v>
      </c>
      <c r="G332">
        <v>10.220000000000001</v>
      </c>
      <c r="H332">
        <v>15</v>
      </c>
      <c r="I332">
        <v>8865</v>
      </c>
      <c r="J332" t="str">
        <v>No</v>
      </c>
    </row>
    <row r="333" spans="3:10" x14ac:dyDescent="0.25">
      <c r="C333">
        <v>43004</v>
      </c>
      <c r="D333" t="str">
        <v>Netherlands</v>
      </c>
      <c r="E333" t="str">
        <v>Paseo</v>
      </c>
      <c r="F333">
        <v>723</v>
      </c>
      <c r="G333">
        <v>10.31</v>
      </c>
      <c r="H333">
        <v>12</v>
      </c>
      <c r="I333">
        <v>8676</v>
      </c>
      <c r="J333" t="str">
        <v>No</v>
      </c>
    </row>
    <row r="334" spans="3:10" x14ac:dyDescent="0.25">
      <c r="C334">
        <v>17015</v>
      </c>
      <c r="D334" t="str">
        <v>Ireland</v>
      </c>
      <c r="E334" t="str">
        <v>Paseo</v>
      </c>
      <c r="F334">
        <v>747</v>
      </c>
      <c r="G334">
        <v>10.8</v>
      </c>
      <c r="H334">
        <v>13</v>
      </c>
      <c r="I334">
        <v>9711</v>
      </c>
      <c r="J334" t="str">
        <v>No</v>
      </c>
    </row>
    <row r="335" spans="3:10" x14ac:dyDescent="0.25">
      <c r="C335">
        <v>16474</v>
      </c>
      <c r="D335" t="str">
        <v>Germany</v>
      </c>
      <c r="E335" t="str">
        <v>Paseo</v>
      </c>
      <c r="F335">
        <v>1366</v>
      </c>
      <c r="G335">
        <v>10.8</v>
      </c>
      <c r="H335">
        <v>12</v>
      </c>
      <c r="I335">
        <v>16392</v>
      </c>
      <c r="J335" t="str">
        <v>Yes</v>
      </c>
    </row>
    <row r="336" spans="3:10" x14ac:dyDescent="0.25">
      <c r="C336">
        <v>24496</v>
      </c>
      <c r="D336" t="str">
        <v>France</v>
      </c>
      <c r="E336" t="str">
        <v>Paseo</v>
      </c>
      <c r="F336">
        <v>448</v>
      </c>
      <c r="G336">
        <v>10.92</v>
      </c>
      <c r="H336">
        <v>14</v>
      </c>
      <c r="I336">
        <v>6272</v>
      </c>
      <c r="J336" t="str">
        <v>No</v>
      </c>
    </row>
    <row r="337" spans="3:10" x14ac:dyDescent="0.25">
      <c r="C337">
        <v>48363</v>
      </c>
      <c r="D337" t="str">
        <v>Ireland</v>
      </c>
      <c r="E337" t="str">
        <v>Paseo</v>
      </c>
      <c r="F337">
        <v>1369</v>
      </c>
      <c r="G337">
        <v>10.35</v>
      </c>
      <c r="H337">
        <v>11</v>
      </c>
      <c r="I337">
        <v>15059</v>
      </c>
      <c r="J337" t="str">
        <v>No</v>
      </c>
    </row>
    <row r="338" spans="3:10" x14ac:dyDescent="0.25">
      <c r="C338">
        <v>25283</v>
      </c>
      <c r="D338" t="str">
        <v>France</v>
      </c>
      <c r="E338" t="str">
        <v>Paseo</v>
      </c>
      <c r="F338">
        <v>787</v>
      </c>
      <c r="G338">
        <v>10.43</v>
      </c>
      <c r="H338">
        <v>14</v>
      </c>
      <c r="I338">
        <v>11018</v>
      </c>
      <c r="J338" t="str">
        <v>Yes</v>
      </c>
    </row>
    <row r="339" spans="3:10" x14ac:dyDescent="0.25">
      <c r="C339">
        <v>64885</v>
      </c>
      <c r="D339" t="str">
        <v>Netherlands</v>
      </c>
      <c r="E339" t="str">
        <v>Paseo</v>
      </c>
      <c r="F339">
        <v>2152</v>
      </c>
      <c r="G339">
        <v>10.119999999999999</v>
      </c>
      <c r="H339">
        <v>14</v>
      </c>
      <c r="I339">
        <v>30128</v>
      </c>
      <c r="J339" t="str">
        <v>No</v>
      </c>
    </row>
    <row r="340" spans="3:10" x14ac:dyDescent="0.25">
      <c r="C340">
        <v>15439</v>
      </c>
      <c r="D340" t="str">
        <v>France</v>
      </c>
      <c r="E340" t="str">
        <v>Paseo</v>
      </c>
      <c r="F340">
        <v>2696</v>
      </c>
      <c r="G340">
        <v>10.34</v>
      </c>
      <c r="H340">
        <v>14</v>
      </c>
      <c r="I340">
        <v>37744</v>
      </c>
      <c r="J340" t="str">
        <v>No</v>
      </c>
    </row>
    <row r="341" spans="3:10" x14ac:dyDescent="0.25">
      <c r="C341">
        <v>22499</v>
      </c>
      <c r="D341" t="str">
        <v>France</v>
      </c>
      <c r="E341" t="str">
        <v>Paseo</v>
      </c>
      <c r="F341">
        <v>1954</v>
      </c>
      <c r="G341">
        <v>10.74</v>
      </c>
      <c r="H341">
        <v>12</v>
      </c>
      <c r="I341">
        <v>23448</v>
      </c>
      <c r="J341" t="str">
        <v>Yes</v>
      </c>
    </row>
    <row r="342" spans="3:10" x14ac:dyDescent="0.25">
      <c r="C342">
        <v>68902</v>
      </c>
      <c r="D342" t="str">
        <v>Ireland</v>
      </c>
      <c r="E342" t="str">
        <v>Paseo</v>
      </c>
      <c r="F342">
        <v>293</v>
      </c>
      <c r="G342">
        <v>10.89</v>
      </c>
      <c r="H342">
        <v>13</v>
      </c>
      <c r="I342">
        <v>3809</v>
      </c>
      <c r="J342" t="str">
        <v>Yes</v>
      </c>
    </row>
    <row r="343" spans="3:10" x14ac:dyDescent="0.25">
      <c r="C343">
        <v>83594</v>
      </c>
      <c r="D343" t="str">
        <v>Italy</v>
      </c>
      <c r="E343" t="str">
        <v>Paseo</v>
      </c>
      <c r="F343">
        <v>274</v>
      </c>
      <c r="G343">
        <v>10.49</v>
      </c>
      <c r="H343">
        <v>13</v>
      </c>
      <c r="I343">
        <v>3562</v>
      </c>
      <c r="J343" t="str">
        <v>Yes</v>
      </c>
    </row>
    <row r="344" spans="3:10" x14ac:dyDescent="0.25">
      <c r="C344">
        <v>54758</v>
      </c>
      <c r="D344" t="str">
        <v>Germany</v>
      </c>
      <c r="E344" t="str">
        <v>Paseo</v>
      </c>
      <c r="F344">
        <v>1945</v>
      </c>
      <c r="G344">
        <v>10.48</v>
      </c>
      <c r="H344">
        <v>13</v>
      </c>
      <c r="I344">
        <v>25285</v>
      </c>
      <c r="J344" t="str">
        <v>No</v>
      </c>
    </row>
    <row r="345" spans="3:10" x14ac:dyDescent="0.25">
      <c r="C345">
        <v>66977</v>
      </c>
      <c r="D345" t="str">
        <v>Spain</v>
      </c>
      <c r="E345" t="str">
        <v>Paseo</v>
      </c>
      <c r="F345">
        <v>2472</v>
      </c>
      <c r="G345">
        <v>10.32</v>
      </c>
      <c r="H345">
        <v>16</v>
      </c>
      <c r="I345">
        <v>39552</v>
      </c>
      <c r="J345" t="str">
        <v>No</v>
      </c>
    </row>
    <row r="346" spans="3:10" x14ac:dyDescent="0.25">
      <c r="C346">
        <v>80499</v>
      </c>
      <c r="D346" t="str">
        <v>Spain</v>
      </c>
      <c r="E346" t="str">
        <v>Paseo</v>
      </c>
      <c r="F346">
        <v>1138</v>
      </c>
      <c r="G346">
        <v>10.77</v>
      </c>
      <c r="H346">
        <v>11</v>
      </c>
      <c r="I346">
        <v>12518</v>
      </c>
      <c r="J346" t="str">
        <v>No</v>
      </c>
    </row>
    <row r="347" spans="3:10" x14ac:dyDescent="0.25">
      <c r="C347">
        <v>84469</v>
      </c>
      <c r="D347" t="str">
        <v>Ireland</v>
      </c>
      <c r="E347" t="str">
        <v>Paseo</v>
      </c>
      <c r="F347">
        <v>2993</v>
      </c>
      <c r="G347">
        <v>10.1</v>
      </c>
      <c r="H347">
        <v>12</v>
      </c>
      <c r="I347">
        <v>35916</v>
      </c>
      <c r="J347" t="str">
        <v>Yes</v>
      </c>
    </row>
    <row r="348" spans="3:10" x14ac:dyDescent="0.25">
      <c r="C348">
        <v>27475</v>
      </c>
      <c r="D348" t="str">
        <v>Netherlands</v>
      </c>
      <c r="E348" t="str">
        <v>Paseo</v>
      </c>
      <c r="F348">
        <v>1094</v>
      </c>
      <c r="G348">
        <v>10.27</v>
      </c>
      <c r="H348">
        <v>14</v>
      </c>
      <c r="I348">
        <v>15316</v>
      </c>
      <c r="J348" t="str">
        <v>Yes</v>
      </c>
    </row>
    <row r="349" spans="3:10" x14ac:dyDescent="0.25">
      <c r="C349">
        <v>62799</v>
      </c>
      <c r="D349" t="str">
        <v>Italy</v>
      </c>
      <c r="E349" t="str">
        <v>Paseo</v>
      </c>
      <c r="F349">
        <v>1438</v>
      </c>
      <c r="G349">
        <v>10.77</v>
      </c>
      <c r="H349">
        <v>12</v>
      </c>
      <c r="I349">
        <v>17256</v>
      </c>
      <c r="J349" t="str">
        <v>Yes</v>
      </c>
    </row>
    <row r="350" spans="3:10" x14ac:dyDescent="0.25">
      <c r="C350">
        <v>13369</v>
      </c>
      <c r="D350" t="str">
        <v>Ireland</v>
      </c>
      <c r="E350" t="str">
        <v>Paseo</v>
      </c>
      <c r="F350">
        <v>700</v>
      </c>
      <c r="G350">
        <v>10.39</v>
      </c>
      <c r="H350">
        <v>12</v>
      </c>
      <c r="I350">
        <v>8400</v>
      </c>
      <c r="J350" t="str">
        <v>No</v>
      </c>
    </row>
    <row r="351" spans="3:10" x14ac:dyDescent="0.25">
      <c r="C351">
        <v>42141</v>
      </c>
      <c r="D351" t="str">
        <v>France</v>
      </c>
      <c r="E351" t="str">
        <v>Paseo</v>
      </c>
      <c r="F351">
        <v>2167</v>
      </c>
      <c r="G351">
        <v>10.94</v>
      </c>
      <c r="H351">
        <v>14</v>
      </c>
      <c r="I351">
        <v>30338</v>
      </c>
      <c r="J351" t="str">
        <v>No</v>
      </c>
    </row>
    <row r="352" spans="3:10" x14ac:dyDescent="0.25">
      <c r="C352">
        <v>49321</v>
      </c>
      <c r="D352" t="str">
        <v>Ireland</v>
      </c>
      <c r="E352" t="str">
        <v>Paseo</v>
      </c>
      <c r="F352">
        <v>1598</v>
      </c>
      <c r="G352">
        <v>10.4</v>
      </c>
      <c r="H352">
        <v>12</v>
      </c>
      <c r="I352">
        <v>19176</v>
      </c>
      <c r="J352" t="str">
        <v>No</v>
      </c>
    </row>
    <row r="353" spans="3:10" x14ac:dyDescent="0.25">
      <c r="C353">
        <v>89487</v>
      </c>
      <c r="D353" t="str">
        <v>Netherlands</v>
      </c>
      <c r="E353" t="str">
        <v>Paseo</v>
      </c>
      <c r="F353">
        <v>1295</v>
      </c>
      <c r="G353">
        <v>10.34</v>
      </c>
      <c r="H353">
        <v>14</v>
      </c>
      <c r="I353">
        <v>18130</v>
      </c>
      <c r="J353" t="str">
        <v>Yes</v>
      </c>
    </row>
    <row r="354" spans="3:10" x14ac:dyDescent="0.25">
      <c r="C354">
        <v>57174</v>
      </c>
      <c r="D354" t="str">
        <v>Ireland</v>
      </c>
      <c r="E354" t="str">
        <v>Paseo</v>
      </c>
      <c r="F354">
        <v>2409</v>
      </c>
      <c r="G354">
        <v>10.78</v>
      </c>
      <c r="H354">
        <v>12</v>
      </c>
      <c r="I354">
        <v>28908</v>
      </c>
      <c r="J354" t="str">
        <v>No</v>
      </c>
    </row>
    <row r="355" spans="3:10" x14ac:dyDescent="0.25">
      <c r="C355">
        <v>41943</v>
      </c>
      <c r="D355" t="str">
        <v>Ireland</v>
      </c>
      <c r="E355" t="str">
        <v>Paseo</v>
      </c>
      <c r="F355">
        <v>1823</v>
      </c>
      <c r="G355">
        <v>10.45</v>
      </c>
      <c r="H355">
        <v>11</v>
      </c>
      <c r="I355">
        <v>20053</v>
      </c>
      <c r="J355" t="str">
        <v>No</v>
      </c>
    </row>
    <row r="356" spans="3:10" x14ac:dyDescent="0.25">
      <c r="C356">
        <v>30707</v>
      </c>
      <c r="D356" t="str">
        <v>Spain</v>
      </c>
      <c r="E356" t="str">
        <v>Paseo</v>
      </c>
      <c r="F356">
        <v>367</v>
      </c>
      <c r="G356">
        <v>10.79</v>
      </c>
      <c r="H356">
        <v>14</v>
      </c>
      <c r="I356">
        <v>5138</v>
      </c>
      <c r="J356" t="str">
        <v>No</v>
      </c>
    </row>
    <row r="357" spans="3:10" x14ac:dyDescent="0.25">
      <c r="C357">
        <v>83124</v>
      </c>
      <c r="D357" t="str">
        <v>France</v>
      </c>
      <c r="E357" t="str">
        <v>Paseo</v>
      </c>
      <c r="F357">
        <v>1287</v>
      </c>
      <c r="G357">
        <v>10.49</v>
      </c>
      <c r="H357">
        <v>14</v>
      </c>
      <c r="I357">
        <v>18018</v>
      </c>
      <c r="J357" t="str">
        <v>Yes</v>
      </c>
    </row>
    <row r="358" spans="3:10" x14ac:dyDescent="0.25">
      <c r="C358">
        <v>64404</v>
      </c>
      <c r="D358" t="str">
        <v>Germany</v>
      </c>
      <c r="E358" t="str">
        <v>Paseo</v>
      </c>
      <c r="F358">
        <v>2125</v>
      </c>
      <c r="G358">
        <v>10.48</v>
      </c>
      <c r="H358">
        <v>11</v>
      </c>
      <c r="I358">
        <v>23375</v>
      </c>
      <c r="J358" t="str">
        <v>Yes</v>
      </c>
    </row>
    <row r="359" spans="3:10" x14ac:dyDescent="0.25">
      <c r="C359">
        <v>95728</v>
      </c>
      <c r="D359" t="str">
        <v>Italy</v>
      </c>
      <c r="E359" t="str">
        <v>Paseo</v>
      </c>
      <c r="F359">
        <v>2663</v>
      </c>
      <c r="G359">
        <v>10.26</v>
      </c>
      <c r="H359">
        <v>11</v>
      </c>
      <c r="I359">
        <v>29293</v>
      </c>
      <c r="J359" t="str">
        <v>Yes</v>
      </c>
    </row>
    <row r="360" spans="3:10" x14ac:dyDescent="0.25">
      <c r="C360">
        <v>73882</v>
      </c>
      <c r="D360" t="str">
        <v>Ireland</v>
      </c>
      <c r="E360" t="str">
        <v>Paseo</v>
      </c>
      <c r="F360">
        <v>1362</v>
      </c>
      <c r="G360">
        <v>10.56</v>
      </c>
      <c r="H360">
        <v>11</v>
      </c>
      <c r="I360">
        <v>14982</v>
      </c>
      <c r="J360" t="str">
        <v>Yes</v>
      </c>
    </row>
    <row r="361" spans="3:10" x14ac:dyDescent="0.25">
      <c r="C361">
        <v>13656</v>
      </c>
      <c r="D361" t="str">
        <v>Ireland</v>
      </c>
      <c r="E361" t="str">
        <v>Paseo</v>
      </c>
      <c r="F361">
        <v>1570</v>
      </c>
      <c r="G361">
        <v>10.87</v>
      </c>
      <c r="H361">
        <v>16</v>
      </c>
      <c r="I361">
        <v>25120</v>
      </c>
      <c r="J361" t="str">
        <v>Yes</v>
      </c>
    </row>
    <row r="362" spans="3:10" x14ac:dyDescent="0.25">
      <c r="C362">
        <v>68671</v>
      </c>
      <c r="D362" t="str">
        <v>Germany</v>
      </c>
      <c r="E362" t="str">
        <v>Paseo</v>
      </c>
      <c r="F362">
        <v>2992</v>
      </c>
      <c r="G362">
        <v>10.99</v>
      </c>
      <c r="H362">
        <v>16</v>
      </c>
      <c r="I362">
        <v>47872</v>
      </c>
      <c r="J362" t="str">
        <v>Yes</v>
      </c>
    </row>
    <row r="363" spans="3:10" x14ac:dyDescent="0.25">
      <c r="C363">
        <v>94160</v>
      </c>
      <c r="D363" t="str">
        <v>Spain</v>
      </c>
      <c r="E363" t="str">
        <v>Paseo</v>
      </c>
      <c r="F363">
        <v>571</v>
      </c>
      <c r="G363">
        <v>10.67</v>
      </c>
      <c r="H363">
        <v>13</v>
      </c>
      <c r="I363">
        <v>7423</v>
      </c>
      <c r="J363" t="str">
        <v>Yes</v>
      </c>
    </row>
    <row r="364" spans="3:10" x14ac:dyDescent="0.25">
      <c r="C364">
        <v>24486</v>
      </c>
      <c r="D364" t="str">
        <v>Ireland</v>
      </c>
      <c r="E364" t="str">
        <v>Paseo</v>
      </c>
      <c r="F364">
        <v>1177</v>
      </c>
      <c r="G364">
        <v>10.44</v>
      </c>
      <c r="H364">
        <v>16</v>
      </c>
      <c r="I364">
        <v>18832</v>
      </c>
      <c r="J364" t="str">
        <v>No</v>
      </c>
    </row>
    <row r="365" spans="3:10" x14ac:dyDescent="0.25">
      <c r="C365">
        <v>95518</v>
      </c>
      <c r="D365" t="str">
        <v>Ireland</v>
      </c>
      <c r="E365" t="str">
        <v>Paseo</v>
      </c>
      <c r="F365">
        <v>1153</v>
      </c>
      <c r="G365">
        <v>10.67</v>
      </c>
      <c r="H365">
        <v>12</v>
      </c>
      <c r="I365">
        <v>13836</v>
      </c>
      <c r="J365" t="str">
        <v>Yes</v>
      </c>
    </row>
    <row r="366" spans="3:10" x14ac:dyDescent="0.25">
      <c r="C366">
        <v>19793</v>
      </c>
      <c r="D366" t="str">
        <v>France</v>
      </c>
      <c r="E366" t="str">
        <v>Paseo</v>
      </c>
      <c r="F366">
        <v>1031</v>
      </c>
      <c r="G366">
        <v>10.050000000000001</v>
      </c>
      <c r="H366">
        <v>12</v>
      </c>
      <c r="I366">
        <v>12372</v>
      </c>
      <c r="J366" t="str">
        <v>No</v>
      </c>
    </row>
    <row r="367" spans="3:10" x14ac:dyDescent="0.25">
      <c r="C367">
        <v>38979</v>
      </c>
      <c r="D367" t="str">
        <v>Italy</v>
      </c>
      <c r="E367" t="str">
        <v>Paseo</v>
      </c>
      <c r="F367">
        <v>973</v>
      </c>
      <c r="G367">
        <v>10.119999999999999</v>
      </c>
      <c r="H367">
        <v>15</v>
      </c>
      <c r="I367">
        <v>14595</v>
      </c>
      <c r="J367" t="str">
        <v>No</v>
      </c>
    </row>
    <row r="368" spans="3:10" x14ac:dyDescent="0.25">
      <c r="C368">
        <v>22084</v>
      </c>
      <c r="D368" t="str">
        <v>Spain</v>
      </c>
      <c r="E368" t="str">
        <v>Paseo</v>
      </c>
      <c r="F368">
        <v>1114</v>
      </c>
      <c r="G368">
        <v>10.07</v>
      </c>
      <c r="H368">
        <v>15</v>
      </c>
      <c r="I368">
        <v>16710</v>
      </c>
      <c r="J368" t="str">
        <v>Yes</v>
      </c>
    </row>
    <row r="369" spans="3:10" x14ac:dyDescent="0.25">
      <c r="C369">
        <v>54229</v>
      </c>
      <c r="D369" t="str">
        <v>Spain</v>
      </c>
      <c r="E369" t="str">
        <v>Paseo</v>
      </c>
      <c r="F369">
        <v>788</v>
      </c>
      <c r="G369">
        <v>10.57</v>
      </c>
      <c r="H369">
        <v>14</v>
      </c>
      <c r="I369">
        <v>11032</v>
      </c>
      <c r="J369" t="str">
        <v>No</v>
      </c>
    </row>
    <row r="370" spans="3:10" x14ac:dyDescent="0.25">
      <c r="C370">
        <v>98280</v>
      </c>
      <c r="D370" t="str">
        <v>Italy</v>
      </c>
      <c r="E370" t="str">
        <v>Paseo</v>
      </c>
      <c r="F370">
        <v>3495</v>
      </c>
      <c r="G370">
        <v>10.23</v>
      </c>
      <c r="H370">
        <v>16</v>
      </c>
      <c r="I370">
        <v>55920</v>
      </c>
      <c r="J370" t="str">
        <v>Yes</v>
      </c>
    </row>
    <row r="371" spans="3:10" x14ac:dyDescent="0.25">
      <c r="C371">
        <v>20093</v>
      </c>
      <c r="D371" t="str">
        <v>Italy</v>
      </c>
      <c r="E371" t="str">
        <v>Paseo</v>
      </c>
      <c r="F371">
        <v>4492</v>
      </c>
      <c r="G371">
        <v>10.85</v>
      </c>
      <c r="H371">
        <v>13</v>
      </c>
      <c r="I371">
        <v>58396</v>
      </c>
      <c r="J371" t="str">
        <v>No</v>
      </c>
    </row>
    <row r="372" spans="3:10" x14ac:dyDescent="0.25">
      <c r="C372">
        <v>68168</v>
      </c>
      <c r="D372" t="str">
        <v>Ireland</v>
      </c>
      <c r="E372" t="str">
        <v>Paseo</v>
      </c>
      <c r="F372">
        <v>1785</v>
      </c>
      <c r="G372">
        <v>10.65</v>
      </c>
      <c r="H372">
        <v>14</v>
      </c>
      <c r="I372">
        <v>24990</v>
      </c>
      <c r="J372" t="str">
        <v>No</v>
      </c>
    </row>
    <row r="373" spans="3:10" x14ac:dyDescent="0.25">
      <c r="C373">
        <v>98283</v>
      </c>
      <c r="D373" t="str">
        <v>Netherlands</v>
      </c>
      <c r="E373" t="str">
        <v>Paseo</v>
      </c>
      <c r="F373">
        <v>2559</v>
      </c>
      <c r="G373">
        <v>10.69</v>
      </c>
      <c r="H373">
        <v>12</v>
      </c>
      <c r="I373">
        <v>30708</v>
      </c>
      <c r="J373" t="str">
        <v>No</v>
      </c>
    </row>
    <row r="374" spans="3:10" x14ac:dyDescent="0.25">
      <c r="C374">
        <v>68498</v>
      </c>
      <c r="D374" t="str">
        <v>Italy</v>
      </c>
      <c r="E374" t="str">
        <v>Paseo</v>
      </c>
      <c r="F374">
        <v>380</v>
      </c>
      <c r="G374">
        <v>10.56</v>
      </c>
      <c r="H374">
        <v>13</v>
      </c>
      <c r="I374">
        <v>4940</v>
      </c>
      <c r="J374" t="str">
        <v>No</v>
      </c>
    </row>
    <row r="375" spans="3:10" x14ac:dyDescent="0.25">
      <c r="C375">
        <v>18324</v>
      </c>
      <c r="D375" t="str">
        <v>Italy</v>
      </c>
      <c r="E375" t="str">
        <v>Paseo</v>
      </c>
      <c r="F375">
        <v>2198</v>
      </c>
      <c r="G375">
        <v>10.18</v>
      </c>
      <c r="H375">
        <v>11</v>
      </c>
      <c r="I375">
        <v>24178</v>
      </c>
      <c r="J375" t="str">
        <v>Yes</v>
      </c>
    </row>
    <row r="376" spans="3:10" x14ac:dyDescent="0.25">
      <c r="C376">
        <v>41331</v>
      </c>
      <c r="D376" t="str">
        <v>France</v>
      </c>
      <c r="E376" t="str">
        <v>Paseo</v>
      </c>
      <c r="F376">
        <v>2385</v>
      </c>
      <c r="G376">
        <v>10.72</v>
      </c>
      <c r="H376">
        <v>12</v>
      </c>
      <c r="I376">
        <v>28620</v>
      </c>
      <c r="J376" t="str">
        <v>Yes</v>
      </c>
    </row>
    <row r="377" spans="3:10" x14ac:dyDescent="0.25">
      <c r="C377">
        <v>99984</v>
      </c>
      <c r="D377" t="str">
        <v>Spain</v>
      </c>
      <c r="E377" t="str">
        <v>Paseo</v>
      </c>
      <c r="F377">
        <v>905</v>
      </c>
      <c r="G377">
        <v>10.01</v>
      </c>
      <c r="H377">
        <v>12</v>
      </c>
      <c r="I377">
        <v>10860</v>
      </c>
      <c r="J377" t="str">
        <v>No</v>
      </c>
    </row>
    <row r="378" spans="3:10" x14ac:dyDescent="0.25">
      <c r="C378">
        <v>64882</v>
      </c>
      <c r="D378" t="str">
        <v>Netherlands</v>
      </c>
      <c r="E378" t="str">
        <v>Paseo</v>
      </c>
      <c r="F378">
        <v>2104</v>
      </c>
      <c r="G378">
        <v>10.61</v>
      </c>
      <c r="H378">
        <v>15</v>
      </c>
      <c r="I378">
        <v>31560</v>
      </c>
      <c r="J378" t="str">
        <v>Yes</v>
      </c>
    </row>
    <row r="379" spans="3:10" x14ac:dyDescent="0.25">
      <c r="C379">
        <v>74144</v>
      </c>
      <c r="D379" t="str">
        <v>Germany</v>
      </c>
      <c r="E379" t="str">
        <v>Paseo</v>
      </c>
      <c r="F379">
        <v>1006</v>
      </c>
      <c r="G379">
        <v>10.8</v>
      </c>
      <c r="H379">
        <v>12</v>
      </c>
      <c r="I379">
        <v>12072</v>
      </c>
      <c r="J379" t="str">
        <v>Yes</v>
      </c>
    </row>
    <row r="380" spans="3:10" x14ac:dyDescent="0.25">
      <c r="C380">
        <v>78170</v>
      </c>
      <c r="D380" t="str">
        <v>Spain</v>
      </c>
      <c r="E380" t="str">
        <v>Paseo</v>
      </c>
      <c r="F380">
        <v>380</v>
      </c>
      <c r="G380">
        <v>10.1</v>
      </c>
      <c r="H380">
        <v>12</v>
      </c>
      <c r="I380">
        <v>4560</v>
      </c>
      <c r="J380" t="str">
        <v>No</v>
      </c>
    </row>
    <row r="381" spans="3:10" x14ac:dyDescent="0.25">
      <c r="C381">
        <v>16913</v>
      </c>
      <c r="D381" t="str">
        <v>France</v>
      </c>
      <c r="E381" t="str">
        <v>Paseo</v>
      </c>
      <c r="F381">
        <v>1496</v>
      </c>
      <c r="G381">
        <v>10.46</v>
      </c>
      <c r="H381">
        <v>15</v>
      </c>
      <c r="I381">
        <v>22440</v>
      </c>
      <c r="J381" t="str">
        <v>Yes</v>
      </c>
    </row>
    <row r="382" spans="3:10" x14ac:dyDescent="0.25">
      <c r="C382">
        <v>81190</v>
      </c>
      <c r="D382" t="str">
        <v>Germany</v>
      </c>
      <c r="E382" t="str">
        <v>Paseo</v>
      </c>
      <c r="F382">
        <v>3513</v>
      </c>
      <c r="G382">
        <v>10.3</v>
      </c>
      <c r="H382">
        <v>15</v>
      </c>
      <c r="I382">
        <v>52695</v>
      </c>
      <c r="J382" t="str">
        <v>Yes</v>
      </c>
    </row>
    <row r="383" spans="3:10" x14ac:dyDescent="0.25">
      <c r="C383">
        <v>83587</v>
      </c>
      <c r="D383" t="str">
        <v>Germany</v>
      </c>
      <c r="E383" t="str">
        <v>Paseo</v>
      </c>
      <c r="F383">
        <v>1728</v>
      </c>
      <c r="G383">
        <v>10.029999999999999</v>
      </c>
      <c r="H383">
        <v>15</v>
      </c>
      <c r="I383">
        <v>25920</v>
      </c>
      <c r="J383" t="str">
        <v>Yes</v>
      </c>
    </row>
    <row r="384" spans="3:10" x14ac:dyDescent="0.25">
      <c r="C384">
        <v>87624</v>
      </c>
      <c r="D384" t="str">
        <v>Germany</v>
      </c>
      <c r="E384" t="str">
        <v>Paseo</v>
      </c>
      <c r="F384">
        <v>1259</v>
      </c>
      <c r="G384">
        <v>10.77</v>
      </c>
      <c r="H384">
        <v>13</v>
      </c>
      <c r="I384">
        <v>16367</v>
      </c>
      <c r="J384" t="str">
        <v>No</v>
      </c>
    </row>
    <row r="385" spans="3:10" x14ac:dyDescent="0.25">
      <c r="C385">
        <v>81976</v>
      </c>
      <c r="D385" t="str">
        <v>Spain</v>
      </c>
      <c r="E385" t="str">
        <v>Paseo</v>
      </c>
      <c r="F385">
        <v>2417</v>
      </c>
      <c r="G385">
        <v>10.6</v>
      </c>
      <c r="H385">
        <v>12</v>
      </c>
      <c r="I385">
        <v>29004</v>
      </c>
      <c r="J385" t="str">
        <v>Yes</v>
      </c>
    </row>
    <row r="386" spans="3:10" x14ac:dyDescent="0.25">
      <c r="C386">
        <v>28691</v>
      </c>
      <c r="D386" t="str">
        <v>Spain</v>
      </c>
      <c r="E386" t="str">
        <v>Paseo</v>
      </c>
      <c r="F386">
        <v>2763</v>
      </c>
      <c r="G386">
        <v>10.55</v>
      </c>
      <c r="H386">
        <v>13</v>
      </c>
      <c r="I386">
        <v>35919</v>
      </c>
      <c r="J386" t="str">
        <v>No</v>
      </c>
    </row>
    <row r="387" spans="3:10" x14ac:dyDescent="0.25">
      <c r="C387">
        <v>71814</v>
      </c>
      <c r="D387" t="str">
        <v>Netherlands</v>
      </c>
      <c r="E387" t="str">
        <v>Paseo</v>
      </c>
      <c r="F387">
        <v>1725</v>
      </c>
      <c r="G387">
        <v>10.130000000000001</v>
      </c>
      <c r="H387">
        <v>11</v>
      </c>
      <c r="I387">
        <v>18975</v>
      </c>
      <c r="J387" t="str">
        <v>No</v>
      </c>
    </row>
    <row r="388" spans="3:10" x14ac:dyDescent="0.25">
      <c r="C388">
        <v>54491</v>
      </c>
      <c r="D388" t="str">
        <v>France</v>
      </c>
      <c r="E388" t="str">
        <v>Paseo</v>
      </c>
      <c r="F388">
        <v>1030</v>
      </c>
      <c r="G388">
        <v>10.93</v>
      </c>
      <c r="H388">
        <v>14</v>
      </c>
      <c r="I388">
        <v>14420</v>
      </c>
      <c r="J388" t="str">
        <v>Yes</v>
      </c>
    </row>
    <row r="389" spans="3:10" x14ac:dyDescent="0.25">
      <c r="C389">
        <v>49994</v>
      </c>
      <c r="D389" t="str">
        <v>Netherlands</v>
      </c>
      <c r="E389" t="str">
        <v>Paseo</v>
      </c>
      <c r="F389">
        <v>2394</v>
      </c>
      <c r="G389">
        <v>10.23</v>
      </c>
      <c r="H389">
        <v>12</v>
      </c>
      <c r="I389">
        <v>28728</v>
      </c>
      <c r="J389" t="str">
        <v>No</v>
      </c>
    </row>
    <row r="390" spans="3:10" x14ac:dyDescent="0.25">
      <c r="C390">
        <v>37736</v>
      </c>
      <c r="D390" t="str">
        <v>Spain</v>
      </c>
      <c r="E390" t="str">
        <v>Paseo</v>
      </c>
      <c r="F390">
        <v>1715</v>
      </c>
      <c r="G390">
        <v>10.96</v>
      </c>
      <c r="H390">
        <v>15</v>
      </c>
      <c r="I390">
        <v>25725</v>
      </c>
      <c r="J390" t="str">
        <v>No</v>
      </c>
    </row>
    <row r="391" spans="3:10" x14ac:dyDescent="0.25">
      <c r="C391">
        <v>44782</v>
      </c>
      <c r="D391" t="str">
        <v>France</v>
      </c>
      <c r="E391" t="str">
        <v>Paseo</v>
      </c>
      <c r="F391">
        <v>2155</v>
      </c>
      <c r="G391">
        <v>10.55</v>
      </c>
      <c r="H391">
        <v>15</v>
      </c>
      <c r="I391">
        <v>32325</v>
      </c>
      <c r="J391" t="str">
        <v>Yes</v>
      </c>
    </row>
    <row r="392" spans="3:10" x14ac:dyDescent="0.25">
      <c r="C392">
        <v>74413</v>
      </c>
      <c r="D392" t="str">
        <v>Ireland</v>
      </c>
      <c r="E392" t="str">
        <v>Paseo</v>
      </c>
      <c r="F392">
        <v>2261</v>
      </c>
      <c r="G392">
        <v>10.77</v>
      </c>
      <c r="H392">
        <v>12</v>
      </c>
      <c r="I392">
        <v>27132</v>
      </c>
      <c r="J392" t="str">
        <v>No</v>
      </c>
    </row>
    <row r="393" spans="3:10" x14ac:dyDescent="0.25">
      <c r="C393">
        <v>76287</v>
      </c>
      <c r="D393" t="str">
        <v>Italy</v>
      </c>
      <c r="E393" t="str">
        <v>Paseo</v>
      </c>
      <c r="F393">
        <v>2641</v>
      </c>
      <c r="G393">
        <v>10.27</v>
      </c>
      <c r="H393">
        <v>15</v>
      </c>
      <c r="I393">
        <v>39615</v>
      </c>
      <c r="J393" t="str">
        <v>Yes</v>
      </c>
    </row>
    <row r="394" spans="3:10" x14ac:dyDescent="0.25">
      <c r="C394">
        <v>29095</v>
      </c>
      <c r="D394" t="str">
        <v>Italy</v>
      </c>
      <c r="E394" t="str">
        <v>Paseo</v>
      </c>
      <c r="F394">
        <v>727</v>
      </c>
      <c r="G394">
        <v>11</v>
      </c>
      <c r="H394">
        <v>16</v>
      </c>
      <c r="I394">
        <v>11632</v>
      </c>
      <c r="J394" t="str">
        <v>Yes</v>
      </c>
    </row>
    <row r="395" spans="3:10" x14ac:dyDescent="0.25">
      <c r="C395">
        <v>53984</v>
      </c>
      <c r="D395" t="str">
        <v>Germany</v>
      </c>
      <c r="E395" t="str">
        <v>Paseo</v>
      </c>
      <c r="F395">
        <v>241</v>
      </c>
      <c r="G395">
        <v>10.53</v>
      </c>
      <c r="H395">
        <v>15</v>
      </c>
      <c r="I395">
        <v>3615</v>
      </c>
      <c r="J395" t="str">
        <v>Yes</v>
      </c>
    </row>
    <row r="396" spans="3:10" x14ac:dyDescent="0.25">
      <c r="C396">
        <v>43218</v>
      </c>
      <c r="D396" t="str">
        <v>Germany</v>
      </c>
      <c r="E396" t="str">
        <v>Paseo</v>
      </c>
      <c r="F396">
        <v>1158</v>
      </c>
      <c r="G396">
        <v>10.07</v>
      </c>
      <c r="H396">
        <v>15</v>
      </c>
      <c r="I396">
        <v>17370</v>
      </c>
      <c r="J396" t="str">
        <v>No</v>
      </c>
    </row>
    <row r="397" spans="3:10" x14ac:dyDescent="0.25">
      <c r="C397">
        <v>87110</v>
      </c>
      <c r="D397" t="str">
        <v>Ireland</v>
      </c>
      <c r="E397" t="str">
        <v>Paseo</v>
      </c>
      <c r="F397">
        <v>2532</v>
      </c>
      <c r="G397">
        <v>10.23</v>
      </c>
      <c r="H397">
        <v>16</v>
      </c>
      <c r="I397">
        <v>40512</v>
      </c>
      <c r="J397" t="str">
        <v>Yes</v>
      </c>
    </row>
    <row r="398" spans="3:10" x14ac:dyDescent="0.25">
      <c r="C398">
        <v>37926</v>
      </c>
      <c r="D398" t="str">
        <v>Germany</v>
      </c>
      <c r="E398" t="str">
        <v>Paseo</v>
      </c>
      <c r="F398">
        <v>689</v>
      </c>
      <c r="G398">
        <v>10.62</v>
      </c>
      <c r="H398">
        <v>15</v>
      </c>
      <c r="I398">
        <v>10335</v>
      </c>
      <c r="J398" t="str">
        <v>Yes</v>
      </c>
    </row>
    <row r="399" spans="3:10" x14ac:dyDescent="0.25">
      <c r="C399">
        <v>86096</v>
      </c>
      <c r="D399" t="str">
        <v>Ireland</v>
      </c>
      <c r="E399" t="str">
        <v>Paseo</v>
      </c>
      <c r="F399">
        <v>2851</v>
      </c>
      <c r="G399">
        <v>10.02</v>
      </c>
      <c r="H399">
        <v>15</v>
      </c>
      <c r="I399">
        <v>42765</v>
      </c>
      <c r="J399" t="str">
        <v>Yes</v>
      </c>
    </row>
    <row r="400" spans="3:10" x14ac:dyDescent="0.25">
      <c r="C400">
        <v>82925</v>
      </c>
      <c r="D400" t="str">
        <v>Netherlands</v>
      </c>
      <c r="E400" t="str">
        <v>Paseo</v>
      </c>
      <c r="F400">
        <v>2518</v>
      </c>
      <c r="G400">
        <v>10.77</v>
      </c>
      <c r="H400">
        <v>15</v>
      </c>
      <c r="I400">
        <v>37770</v>
      </c>
      <c r="J400" t="str">
        <v>No</v>
      </c>
    </row>
    <row r="401" spans="3:10" x14ac:dyDescent="0.25">
      <c r="C401">
        <v>71327</v>
      </c>
      <c r="D401" t="str">
        <v>France</v>
      </c>
      <c r="E401" t="str">
        <v>Paseo</v>
      </c>
      <c r="F401">
        <v>1731</v>
      </c>
      <c r="G401">
        <v>10.81</v>
      </c>
      <c r="H401">
        <v>12</v>
      </c>
      <c r="I401">
        <v>20772</v>
      </c>
      <c r="J401" t="str">
        <v>Yes</v>
      </c>
    </row>
    <row r="402" spans="3:10" x14ac:dyDescent="0.25">
      <c r="C402">
        <v>62898</v>
      </c>
      <c r="D402" t="str">
        <v>Netherlands</v>
      </c>
      <c r="E402" t="str">
        <v>Paseo</v>
      </c>
      <c r="F402">
        <v>257</v>
      </c>
      <c r="G402">
        <v>10.96</v>
      </c>
      <c r="H402">
        <v>15</v>
      </c>
      <c r="I402">
        <v>3855</v>
      </c>
      <c r="J402" t="str">
        <v>No</v>
      </c>
    </row>
    <row r="403" spans="3:10" x14ac:dyDescent="0.25">
      <c r="C403">
        <v>83502</v>
      </c>
      <c r="D403" t="str">
        <v>France</v>
      </c>
      <c r="E403" t="str">
        <v>Paseo</v>
      </c>
      <c r="F403">
        <v>1227</v>
      </c>
      <c r="G403">
        <v>10.46</v>
      </c>
      <c r="H403">
        <v>16</v>
      </c>
      <c r="I403">
        <v>19632</v>
      </c>
      <c r="J403" t="str">
        <v>No</v>
      </c>
    </row>
    <row r="404" spans="3:10" x14ac:dyDescent="0.25">
      <c r="C404">
        <v>46068</v>
      </c>
      <c r="D404" t="str">
        <v>France</v>
      </c>
      <c r="E404" t="str">
        <v>Paseo</v>
      </c>
      <c r="F404">
        <v>1535</v>
      </c>
      <c r="G404">
        <v>10.53</v>
      </c>
      <c r="H404">
        <v>12</v>
      </c>
      <c r="I404">
        <v>18420</v>
      </c>
      <c r="J404" t="str">
        <v>No</v>
      </c>
    </row>
    <row r="405" spans="3:10" x14ac:dyDescent="0.25">
      <c r="C405">
        <v>86901</v>
      </c>
      <c r="D405" t="str">
        <v>France</v>
      </c>
      <c r="E405" t="str">
        <v>Paseo</v>
      </c>
      <c r="F405">
        <v>1055</v>
      </c>
      <c r="G405">
        <v>10.33</v>
      </c>
      <c r="H405">
        <v>15</v>
      </c>
      <c r="I405">
        <v>15825</v>
      </c>
      <c r="J405" t="str">
        <v>No</v>
      </c>
    </row>
    <row r="406" spans="3:10" x14ac:dyDescent="0.25">
      <c r="C406">
        <v>26856</v>
      </c>
      <c r="D406" t="str">
        <v>France</v>
      </c>
      <c r="E406" t="str">
        <v>Paseo</v>
      </c>
      <c r="F406">
        <v>1757</v>
      </c>
      <c r="G406">
        <v>10.41</v>
      </c>
      <c r="H406">
        <v>16</v>
      </c>
      <c r="I406">
        <v>28112</v>
      </c>
      <c r="J406" t="str">
        <v>No</v>
      </c>
    </row>
    <row r="407" spans="3:10" x14ac:dyDescent="0.25">
      <c r="C407">
        <v>16197</v>
      </c>
      <c r="D407" t="str">
        <v>France</v>
      </c>
      <c r="E407" t="str">
        <v>Paseo</v>
      </c>
      <c r="F407">
        <v>704</v>
      </c>
      <c r="G407">
        <v>10.54</v>
      </c>
      <c r="H407">
        <v>15</v>
      </c>
      <c r="I407">
        <v>10560</v>
      </c>
      <c r="J407" t="str">
        <v>No</v>
      </c>
    </row>
    <row r="408" spans="3:10" x14ac:dyDescent="0.25">
      <c r="C408">
        <v>16647</v>
      </c>
      <c r="D408" t="str">
        <v>Ireland</v>
      </c>
      <c r="E408" t="str">
        <v>Paseo</v>
      </c>
      <c r="F408">
        <v>766</v>
      </c>
      <c r="G408">
        <v>10.51</v>
      </c>
      <c r="H408">
        <v>13</v>
      </c>
      <c r="I408">
        <v>9958</v>
      </c>
      <c r="J408" t="str">
        <v>Yes</v>
      </c>
    </row>
    <row r="409" spans="3:10" x14ac:dyDescent="0.25">
      <c r="C409">
        <v>28680</v>
      </c>
      <c r="D409" t="str">
        <v>Netherlands</v>
      </c>
      <c r="E409" t="str">
        <v>Paseo</v>
      </c>
      <c r="F409">
        <v>2428</v>
      </c>
      <c r="G409">
        <v>10.47</v>
      </c>
      <c r="H409">
        <v>16</v>
      </c>
      <c r="I409">
        <v>38848</v>
      </c>
      <c r="J409" t="str">
        <v>No</v>
      </c>
    </row>
    <row r="410" spans="3:10" x14ac:dyDescent="0.25">
      <c r="C410">
        <v>34298</v>
      </c>
      <c r="D410" t="str">
        <v>France</v>
      </c>
      <c r="E410" t="str">
        <v>Paseo</v>
      </c>
      <c r="F410">
        <v>2136</v>
      </c>
      <c r="G410">
        <v>10.15</v>
      </c>
      <c r="H410">
        <v>11</v>
      </c>
      <c r="I410">
        <v>23496</v>
      </c>
      <c r="J410" t="str">
        <v>No</v>
      </c>
    </row>
    <row r="411" spans="3:10" x14ac:dyDescent="0.25">
      <c r="C411">
        <v>80682</v>
      </c>
      <c r="D411" t="str">
        <v>Italy</v>
      </c>
      <c r="E411" t="str">
        <v>Paseo</v>
      </c>
      <c r="F411">
        <v>386</v>
      </c>
      <c r="G411">
        <v>10.81</v>
      </c>
      <c r="H411">
        <v>15</v>
      </c>
      <c r="I411">
        <v>5790</v>
      </c>
      <c r="J411" t="str">
        <v>No</v>
      </c>
    </row>
    <row r="412" spans="3:10" x14ac:dyDescent="0.25">
      <c r="C412">
        <v>47208</v>
      </c>
      <c r="D412" t="str">
        <v>Spain</v>
      </c>
      <c r="E412" t="str">
        <v>Paseo</v>
      </c>
      <c r="F412">
        <v>2565</v>
      </c>
      <c r="G412">
        <v>10.35</v>
      </c>
      <c r="H412">
        <v>12</v>
      </c>
      <c r="I412">
        <v>30780</v>
      </c>
      <c r="J412" t="str">
        <v>No</v>
      </c>
    </row>
    <row r="413" spans="3:10" x14ac:dyDescent="0.25">
      <c r="C413">
        <v>87004</v>
      </c>
      <c r="D413" t="str">
        <v>Italy</v>
      </c>
      <c r="E413" t="str">
        <v>Paseo</v>
      </c>
      <c r="F413">
        <v>267</v>
      </c>
      <c r="G413">
        <v>10.84</v>
      </c>
      <c r="H413">
        <v>12</v>
      </c>
      <c r="I413">
        <v>3204</v>
      </c>
      <c r="J413" t="str">
        <v>No</v>
      </c>
    </row>
    <row r="414" spans="3:10" x14ac:dyDescent="0.25">
      <c r="C414">
        <v>68421</v>
      </c>
      <c r="D414" t="str">
        <v>Germany</v>
      </c>
      <c r="E414" t="str">
        <v>Paseo</v>
      </c>
      <c r="F414">
        <v>2146</v>
      </c>
      <c r="G414">
        <v>10.84</v>
      </c>
      <c r="H414">
        <v>13</v>
      </c>
      <c r="I414">
        <v>27898</v>
      </c>
      <c r="J414" t="str">
        <v>No</v>
      </c>
    </row>
    <row r="415" spans="3:10" x14ac:dyDescent="0.25">
      <c r="C415">
        <v>36095</v>
      </c>
      <c r="D415" t="str">
        <v>Ireland</v>
      </c>
      <c r="E415" t="str">
        <v>Paseo</v>
      </c>
      <c r="F415">
        <v>662</v>
      </c>
      <c r="G415">
        <v>10.94</v>
      </c>
      <c r="H415">
        <v>15</v>
      </c>
      <c r="I415">
        <v>9930</v>
      </c>
      <c r="J415" t="str">
        <v>No</v>
      </c>
    </row>
    <row r="416" spans="3:10" x14ac:dyDescent="0.25">
      <c r="C416">
        <v>23603</v>
      </c>
      <c r="D416" t="str">
        <v>Spain</v>
      </c>
      <c r="E416" t="str">
        <v>Paseo</v>
      </c>
      <c r="F416">
        <v>2150</v>
      </c>
      <c r="G416">
        <v>10.11</v>
      </c>
      <c r="H416">
        <v>14</v>
      </c>
      <c r="I416">
        <v>30100</v>
      </c>
      <c r="J416" t="str">
        <v>Yes</v>
      </c>
    </row>
    <row r="417" spans="3:10" x14ac:dyDescent="0.25">
      <c r="C417">
        <v>48179</v>
      </c>
      <c r="D417" t="str">
        <v>Germany</v>
      </c>
      <c r="E417" t="str">
        <v>Paseo</v>
      </c>
      <c r="F417">
        <v>795</v>
      </c>
      <c r="G417">
        <v>10.4</v>
      </c>
      <c r="H417">
        <v>11</v>
      </c>
      <c r="I417">
        <v>8745</v>
      </c>
      <c r="J417" t="str">
        <v>No</v>
      </c>
    </row>
    <row r="418" spans="3:10" x14ac:dyDescent="0.25">
      <c r="C418">
        <v>14610</v>
      </c>
      <c r="D418" t="str">
        <v>Netherlands</v>
      </c>
      <c r="E418" t="str">
        <v>Paseo</v>
      </c>
      <c r="F418">
        <v>218</v>
      </c>
      <c r="G418">
        <v>10.75</v>
      </c>
      <c r="H418">
        <v>17</v>
      </c>
      <c r="I418">
        <v>3706</v>
      </c>
      <c r="J418" t="str">
        <v>No</v>
      </c>
    </row>
    <row r="419" spans="3:10" x14ac:dyDescent="0.25">
      <c r="C419">
        <v>64319</v>
      </c>
      <c r="D419" t="str">
        <v>Germany</v>
      </c>
      <c r="E419" t="str">
        <v>Paseo</v>
      </c>
      <c r="F419">
        <v>278</v>
      </c>
      <c r="G419">
        <v>10.220000000000001</v>
      </c>
      <c r="H419">
        <v>13</v>
      </c>
      <c r="I419">
        <v>3614</v>
      </c>
      <c r="J419" t="str">
        <v>Yes</v>
      </c>
    </row>
    <row r="420" spans="3:10" x14ac:dyDescent="0.25">
      <c r="C420">
        <v>76220</v>
      </c>
      <c r="D420" t="str">
        <v>Spain</v>
      </c>
      <c r="E420" t="str">
        <v>Paseo</v>
      </c>
      <c r="F420">
        <v>260</v>
      </c>
      <c r="G420">
        <v>10.96</v>
      </c>
      <c r="H420">
        <v>13</v>
      </c>
      <c r="I420">
        <v>3380</v>
      </c>
      <c r="J420" t="str">
        <v>No</v>
      </c>
    </row>
    <row r="421" spans="3:10" x14ac:dyDescent="0.25">
      <c r="C421">
        <v>74184</v>
      </c>
      <c r="D421" t="str">
        <v>Ireland</v>
      </c>
      <c r="E421" t="str">
        <v>Paseo</v>
      </c>
      <c r="F421">
        <v>1084</v>
      </c>
      <c r="G421">
        <v>10.41</v>
      </c>
      <c r="H421">
        <v>12</v>
      </c>
      <c r="I421">
        <v>13008</v>
      </c>
      <c r="J421" t="str">
        <v>Yes</v>
      </c>
    </row>
    <row r="422" spans="3:10" x14ac:dyDescent="0.25">
      <c r="C422">
        <v>14891</v>
      </c>
      <c r="D422" t="str">
        <v>Spain</v>
      </c>
      <c r="E422" t="str">
        <v>Paseo</v>
      </c>
      <c r="F422">
        <v>1122</v>
      </c>
      <c r="G422">
        <v>10.09</v>
      </c>
      <c r="H422">
        <v>12</v>
      </c>
      <c r="I422">
        <v>13464</v>
      </c>
      <c r="J422" t="str">
        <v>No</v>
      </c>
    </row>
    <row r="423" spans="3:10" x14ac:dyDescent="0.25">
      <c r="C423">
        <v>12216</v>
      </c>
      <c r="D423" t="str">
        <v>Spain</v>
      </c>
      <c r="E423" t="str">
        <v>Paseo</v>
      </c>
      <c r="F423">
        <v>1233</v>
      </c>
      <c r="G423">
        <v>10.45</v>
      </c>
      <c r="H423">
        <v>12</v>
      </c>
      <c r="I423">
        <v>14796</v>
      </c>
      <c r="J423" t="str">
        <v>Yes</v>
      </c>
    </row>
    <row r="424" spans="3:10" x14ac:dyDescent="0.25">
      <c r="C424">
        <v>99492</v>
      </c>
      <c r="D424" t="str">
        <v>Netherlands</v>
      </c>
      <c r="E424" t="str">
        <v>Paseo</v>
      </c>
      <c r="F424">
        <v>1802</v>
      </c>
      <c r="G424">
        <v>10.77</v>
      </c>
      <c r="H424">
        <v>14</v>
      </c>
      <c r="I424">
        <v>25228</v>
      </c>
      <c r="J424" t="str">
        <v>Yes</v>
      </c>
    </row>
    <row r="425" spans="3:10" x14ac:dyDescent="0.25">
      <c r="C425">
        <v>78939</v>
      </c>
      <c r="D425" t="str">
        <v>Germany</v>
      </c>
      <c r="E425" t="str">
        <v>Paseo</v>
      </c>
      <c r="F425">
        <v>1123</v>
      </c>
      <c r="G425">
        <v>10.08</v>
      </c>
      <c r="H425">
        <v>11</v>
      </c>
      <c r="I425">
        <v>12353</v>
      </c>
      <c r="J425" t="str">
        <v>Yes</v>
      </c>
    </row>
    <row r="426" spans="3:10" x14ac:dyDescent="0.25">
      <c r="C426">
        <v>68163</v>
      </c>
      <c r="D426" t="str">
        <v>Netherlands</v>
      </c>
      <c r="E426" t="str">
        <v>Paseo</v>
      </c>
      <c r="F426">
        <v>1228</v>
      </c>
      <c r="G426">
        <v>10.97</v>
      </c>
      <c r="H426">
        <v>15</v>
      </c>
      <c r="I426">
        <v>18420</v>
      </c>
      <c r="J426" t="str">
        <v>No</v>
      </c>
    </row>
    <row r="427" spans="3:10" x14ac:dyDescent="0.25">
      <c r="C427">
        <v>93666</v>
      </c>
      <c r="D427" t="str">
        <v>Spain</v>
      </c>
      <c r="E427" t="str">
        <v>Paseo</v>
      </c>
      <c r="F427">
        <v>883</v>
      </c>
      <c r="G427">
        <v>10.56</v>
      </c>
      <c r="H427">
        <v>14</v>
      </c>
      <c r="I427">
        <v>12362</v>
      </c>
      <c r="J427" t="str">
        <v>No</v>
      </c>
    </row>
    <row r="428" spans="3:10" x14ac:dyDescent="0.25">
      <c r="C428">
        <v>43457</v>
      </c>
      <c r="D428" t="str">
        <v>France</v>
      </c>
      <c r="E428" t="str">
        <v>Paseo</v>
      </c>
      <c r="F428">
        <v>1324</v>
      </c>
      <c r="G428">
        <v>10.64</v>
      </c>
      <c r="H428">
        <v>15</v>
      </c>
      <c r="I428">
        <v>19860</v>
      </c>
      <c r="J428" t="str">
        <v>Yes</v>
      </c>
    </row>
    <row r="429" spans="3:10" x14ac:dyDescent="0.25">
      <c r="C429">
        <v>50397</v>
      </c>
      <c r="D429" t="str">
        <v>Netherlands</v>
      </c>
      <c r="E429" t="str">
        <v>Paseo</v>
      </c>
      <c r="F429">
        <v>2470</v>
      </c>
      <c r="G429">
        <v>10.37</v>
      </c>
      <c r="H429">
        <v>14</v>
      </c>
      <c r="I429">
        <v>34580</v>
      </c>
      <c r="J429" t="str">
        <v>No</v>
      </c>
    </row>
    <row r="430" spans="3:10" x14ac:dyDescent="0.25">
      <c r="C430">
        <v>52349</v>
      </c>
      <c r="D430" t="str">
        <v>Ireland</v>
      </c>
      <c r="E430" t="str">
        <v>Paseo</v>
      </c>
      <c r="F430">
        <v>2116</v>
      </c>
      <c r="G430">
        <v>10.9</v>
      </c>
      <c r="H430">
        <v>14</v>
      </c>
      <c r="I430">
        <v>29624</v>
      </c>
      <c r="J430" t="str">
        <v>No</v>
      </c>
    </row>
    <row r="431" spans="3:10" x14ac:dyDescent="0.25">
      <c r="C431">
        <v>69310</v>
      </c>
      <c r="D431" t="str">
        <v>Germany</v>
      </c>
      <c r="E431" t="str">
        <v>Paseo</v>
      </c>
      <c r="F431">
        <v>1359</v>
      </c>
      <c r="G431">
        <v>10.039999999999999</v>
      </c>
      <c r="H431">
        <v>14</v>
      </c>
      <c r="I431">
        <v>19026</v>
      </c>
      <c r="J431" t="str">
        <v>Yes</v>
      </c>
    </row>
    <row r="432" spans="3:10" x14ac:dyDescent="0.25">
      <c r="C432">
        <v>26113</v>
      </c>
      <c r="D432" t="str">
        <v>Netherlands</v>
      </c>
      <c r="E432" t="str">
        <v>Paseo</v>
      </c>
      <c r="F432">
        <v>1946</v>
      </c>
      <c r="G432">
        <v>10.82</v>
      </c>
      <c r="H432">
        <v>14</v>
      </c>
      <c r="I432">
        <v>27244</v>
      </c>
      <c r="J432" t="str">
        <v>Yes</v>
      </c>
    </row>
    <row r="433" spans="3:10" x14ac:dyDescent="0.25">
      <c r="C433">
        <v>42904</v>
      </c>
      <c r="D433" t="str">
        <v>Ireland</v>
      </c>
      <c r="E433" t="str">
        <v>Paseo</v>
      </c>
      <c r="F433">
        <v>2074</v>
      </c>
      <c r="G433">
        <v>10.9</v>
      </c>
      <c r="H433">
        <v>16</v>
      </c>
      <c r="I433">
        <v>33184</v>
      </c>
      <c r="J433" t="str">
        <v>Yes</v>
      </c>
    </row>
    <row r="434" spans="3:10" x14ac:dyDescent="0.25">
      <c r="C434">
        <v>40800</v>
      </c>
      <c r="D434" t="str">
        <v>Spain</v>
      </c>
      <c r="E434" t="str">
        <v>Paseo</v>
      </c>
      <c r="F434">
        <v>1607</v>
      </c>
      <c r="G434">
        <v>10.34</v>
      </c>
      <c r="H434">
        <v>13</v>
      </c>
      <c r="I434">
        <v>20891</v>
      </c>
      <c r="J434" t="str">
        <v>Yes</v>
      </c>
    </row>
    <row r="435" spans="3:10" x14ac:dyDescent="0.25">
      <c r="C435">
        <v>15628</v>
      </c>
      <c r="D435" t="str">
        <v>Germany</v>
      </c>
      <c r="E435" t="str">
        <v>Paseo</v>
      </c>
      <c r="F435">
        <v>1095</v>
      </c>
      <c r="G435">
        <v>10.34</v>
      </c>
      <c r="H435">
        <v>12</v>
      </c>
      <c r="I435">
        <v>13140</v>
      </c>
      <c r="J435" t="str">
        <v>Yes</v>
      </c>
    </row>
    <row r="436" spans="3:10" x14ac:dyDescent="0.25">
      <c r="C436">
        <v>92116</v>
      </c>
      <c r="D436" t="str">
        <v>Italy</v>
      </c>
      <c r="E436" t="str">
        <v>Paseo</v>
      </c>
      <c r="F436">
        <v>671</v>
      </c>
      <c r="G436">
        <v>10.24</v>
      </c>
      <c r="H436">
        <v>13</v>
      </c>
      <c r="I436">
        <v>8723</v>
      </c>
      <c r="J436" t="str">
        <v>No</v>
      </c>
    </row>
    <row r="437" spans="3:10" x14ac:dyDescent="0.25">
      <c r="C437">
        <v>93396</v>
      </c>
      <c r="D437" t="str">
        <v>Ireland</v>
      </c>
      <c r="E437" t="str">
        <v>Paseo</v>
      </c>
      <c r="F437">
        <v>1925</v>
      </c>
      <c r="G437">
        <v>10.71</v>
      </c>
      <c r="H437">
        <v>16</v>
      </c>
      <c r="I437">
        <v>30800</v>
      </c>
      <c r="J437" t="str">
        <v>Yes</v>
      </c>
    </row>
    <row r="438" spans="3:10" x14ac:dyDescent="0.25">
      <c r="C438">
        <v>94140</v>
      </c>
      <c r="D438" t="str">
        <v>Netherlands</v>
      </c>
      <c r="E438" t="str">
        <v>Paseo</v>
      </c>
      <c r="F438">
        <v>1817</v>
      </c>
      <c r="G438">
        <v>10.96</v>
      </c>
      <c r="H438">
        <v>14</v>
      </c>
      <c r="I438">
        <v>25438</v>
      </c>
      <c r="J438" t="str">
        <v>Yes</v>
      </c>
    </row>
    <row r="439" spans="3:10" x14ac:dyDescent="0.25">
      <c r="C439">
        <v>81479</v>
      </c>
      <c r="D439" t="str">
        <v>France</v>
      </c>
      <c r="E439" t="str">
        <v>Paseo</v>
      </c>
      <c r="F439">
        <v>3801</v>
      </c>
      <c r="G439">
        <v>10.18</v>
      </c>
      <c r="H439">
        <v>15</v>
      </c>
      <c r="I439">
        <v>57015</v>
      </c>
      <c r="J439" t="str">
        <v>No</v>
      </c>
    </row>
    <row r="440" spans="3:10" x14ac:dyDescent="0.25">
      <c r="C440">
        <v>87066</v>
      </c>
      <c r="D440" t="str">
        <v>Netherlands</v>
      </c>
      <c r="E440" t="str">
        <v>Paseo</v>
      </c>
      <c r="F440">
        <v>292</v>
      </c>
      <c r="G440">
        <v>10.19</v>
      </c>
      <c r="H440">
        <v>13</v>
      </c>
      <c r="I440">
        <v>3796</v>
      </c>
      <c r="J440" t="str">
        <v>Yes</v>
      </c>
    </row>
    <row r="441" spans="3:10" x14ac:dyDescent="0.25">
      <c r="C441">
        <v>45374</v>
      </c>
      <c r="D441" t="str">
        <v>Netherlands</v>
      </c>
      <c r="E441" t="str">
        <v>Paseo</v>
      </c>
      <c r="F441">
        <v>4026</v>
      </c>
      <c r="G441">
        <v>10.97</v>
      </c>
      <c r="H441">
        <v>14</v>
      </c>
      <c r="I441">
        <v>56364</v>
      </c>
      <c r="J441" t="str">
        <v>No</v>
      </c>
    </row>
    <row r="442" spans="3:10" x14ac:dyDescent="0.25">
      <c r="C442">
        <v>37283</v>
      </c>
      <c r="D442" t="str">
        <v>Ireland</v>
      </c>
      <c r="E442" t="str">
        <v>Paseo</v>
      </c>
      <c r="F442">
        <v>2931</v>
      </c>
      <c r="G442">
        <v>10.66</v>
      </c>
      <c r="H442">
        <v>13</v>
      </c>
      <c r="I442">
        <v>38103</v>
      </c>
      <c r="J442" t="str">
        <v>No</v>
      </c>
    </row>
    <row r="443" spans="3:10" x14ac:dyDescent="0.25">
      <c r="C443">
        <v>54440</v>
      </c>
      <c r="D443" t="str">
        <v>Netherlands</v>
      </c>
      <c r="E443" t="str">
        <v>Paseo</v>
      </c>
      <c r="F443">
        <v>1774</v>
      </c>
      <c r="G443">
        <v>10.92</v>
      </c>
      <c r="H443">
        <v>12</v>
      </c>
      <c r="I443">
        <v>21288</v>
      </c>
      <c r="J443" t="str">
        <v>No</v>
      </c>
    </row>
    <row r="444" spans="3:10" x14ac:dyDescent="0.25">
      <c r="C444">
        <v>26097</v>
      </c>
      <c r="D444" t="str">
        <v>Spain</v>
      </c>
      <c r="E444" t="str">
        <v>Paseo</v>
      </c>
      <c r="F444">
        <v>2460</v>
      </c>
      <c r="G444">
        <v>10.59</v>
      </c>
      <c r="H444">
        <v>13</v>
      </c>
      <c r="I444">
        <v>31980</v>
      </c>
      <c r="J444" t="str">
        <v>Yes</v>
      </c>
    </row>
    <row r="445" spans="3:10" x14ac:dyDescent="0.25">
      <c r="C445">
        <v>63822</v>
      </c>
      <c r="D445" t="str">
        <v>Ireland</v>
      </c>
      <c r="E445" t="str">
        <v>Paseo</v>
      </c>
      <c r="F445">
        <v>360</v>
      </c>
      <c r="G445">
        <v>10.62</v>
      </c>
      <c r="H445">
        <v>12</v>
      </c>
      <c r="I445">
        <v>4320</v>
      </c>
      <c r="J445" t="str">
        <v>Yes</v>
      </c>
    </row>
    <row r="446" spans="3:10" x14ac:dyDescent="0.25">
      <c r="C446">
        <v>52964</v>
      </c>
      <c r="D446" t="str">
        <v>Netherlands</v>
      </c>
      <c r="E446" t="str">
        <v>Paseo</v>
      </c>
      <c r="F446">
        <v>1702</v>
      </c>
      <c r="G446">
        <v>10.36</v>
      </c>
      <c r="H446">
        <v>15</v>
      </c>
      <c r="I446">
        <v>25530</v>
      </c>
      <c r="J446" t="str">
        <v>Yes</v>
      </c>
    </row>
    <row r="447" spans="3:10" x14ac:dyDescent="0.25">
      <c r="C447">
        <v>96724</v>
      </c>
      <c r="D447" t="str">
        <v>Spain</v>
      </c>
      <c r="E447" t="str">
        <v>Paseo</v>
      </c>
      <c r="F447">
        <v>1984</v>
      </c>
      <c r="G447">
        <v>10.35</v>
      </c>
      <c r="H447">
        <v>16</v>
      </c>
      <c r="I447">
        <v>31744</v>
      </c>
      <c r="J447" t="str">
        <v>Yes</v>
      </c>
    </row>
    <row r="448" spans="3:10" x14ac:dyDescent="0.25">
      <c r="C448">
        <v>58383</v>
      </c>
      <c r="D448" t="str">
        <v>France</v>
      </c>
      <c r="E448" t="str">
        <v>Paseo</v>
      </c>
      <c r="F448">
        <v>1594</v>
      </c>
      <c r="G448">
        <v>10.47</v>
      </c>
      <c r="H448">
        <v>14</v>
      </c>
      <c r="I448">
        <v>22316</v>
      </c>
      <c r="J448" t="str">
        <v>No</v>
      </c>
    </row>
    <row r="449" spans="3:10" x14ac:dyDescent="0.25">
      <c r="C449">
        <v>34107</v>
      </c>
      <c r="D449" t="str">
        <v>France</v>
      </c>
      <c r="E449" t="str">
        <v>Paseo</v>
      </c>
      <c r="F449">
        <v>549</v>
      </c>
      <c r="G449">
        <v>10.35</v>
      </c>
      <c r="H449">
        <v>14</v>
      </c>
      <c r="I449">
        <v>7686</v>
      </c>
      <c r="J449" t="str">
        <v>Yes</v>
      </c>
    </row>
    <row r="450" spans="3:10" x14ac:dyDescent="0.25">
      <c r="C450">
        <v>41942</v>
      </c>
      <c r="D450" t="str">
        <v>Germany</v>
      </c>
      <c r="E450" t="str">
        <v>Paseo</v>
      </c>
      <c r="F450">
        <v>1513</v>
      </c>
      <c r="G450">
        <v>10.11</v>
      </c>
      <c r="H450">
        <v>13</v>
      </c>
      <c r="I450">
        <v>19669</v>
      </c>
      <c r="J450" t="str">
        <v>Yes</v>
      </c>
    </row>
    <row r="451" spans="3:10" x14ac:dyDescent="0.25">
      <c r="C451">
        <v>58579</v>
      </c>
      <c r="D451" t="str">
        <v>Germany</v>
      </c>
      <c r="E451" t="str">
        <v>Paseo</v>
      </c>
      <c r="F451">
        <v>1531</v>
      </c>
      <c r="G451">
        <v>10.49</v>
      </c>
      <c r="H451">
        <v>14</v>
      </c>
      <c r="I451">
        <v>21434</v>
      </c>
      <c r="J451" t="str">
        <v>Yes</v>
      </c>
    </row>
    <row r="452" spans="3:10" x14ac:dyDescent="0.25">
      <c r="C452">
        <v>40882</v>
      </c>
      <c r="D452" t="str">
        <v>Ireland</v>
      </c>
      <c r="E452" t="str">
        <v>Paseo</v>
      </c>
      <c r="F452">
        <v>2327</v>
      </c>
      <c r="G452">
        <v>10.69</v>
      </c>
      <c r="H452">
        <v>14</v>
      </c>
      <c r="I452">
        <v>32578</v>
      </c>
      <c r="J452" t="str">
        <v>No</v>
      </c>
    </row>
    <row r="453" spans="3:10" x14ac:dyDescent="0.25">
      <c r="C453">
        <v>25622</v>
      </c>
      <c r="D453" t="str">
        <v>Italy</v>
      </c>
      <c r="E453" t="str">
        <v>Paseo</v>
      </c>
      <c r="F453">
        <v>2918</v>
      </c>
      <c r="G453">
        <v>10.33</v>
      </c>
      <c r="H453">
        <v>15</v>
      </c>
      <c r="I453">
        <v>43770</v>
      </c>
      <c r="J453" t="str">
        <v>Yes</v>
      </c>
    </row>
    <row r="454" spans="3:10" x14ac:dyDescent="0.25">
      <c r="C454">
        <v>61526</v>
      </c>
      <c r="D454" t="str">
        <v>France</v>
      </c>
      <c r="E454" t="str">
        <v>Paseo</v>
      </c>
      <c r="F454">
        <v>1393</v>
      </c>
      <c r="G454">
        <v>10.51</v>
      </c>
      <c r="H454">
        <v>16</v>
      </c>
      <c r="I454">
        <v>22288</v>
      </c>
      <c r="J454" t="str">
        <v>Yes</v>
      </c>
    </row>
    <row r="455" spans="3:10" x14ac:dyDescent="0.25">
      <c r="C455">
        <v>31236</v>
      </c>
      <c r="D455" t="str">
        <v>Spain</v>
      </c>
      <c r="E455" t="str">
        <v>Paseo</v>
      </c>
      <c r="F455">
        <v>2151</v>
      </c>
      <c r="G455">
        <v>10.15</v>
      </c>
      <c r="H455">
        <v>15</v>
      </c>
      <c r="I455">
        <v>32265</v>
      </c>
      <c r="J455" t="str">
        <v>Yes</v>
      </c>
    </row>
    <row r="456" spans="3:10" x14ac:dyDescent="0.25">
      <c r="C456">
        <v>23721</v>
      </c>
      <c r="D456" t="str">
        <v>Spain</v>
      </c>
      <c r="E456" t="str">
        <v>Paseo</v>
      </c>
      <c r="F456">
        <v>2535</v>
      </c>
      <c r="G456">
        <v>10.68</v>
      </c>
      <c r="H456">
        <v>13</v>
      </c>
      <c r="I456">
        <v>32955</v>
      </c>
      <c r="J456" t="str">
        <v>No</v>
      </c>
    </row>
    <row r="457" spans="3:10" x14ac:dyDescent="0.25">
      <c r="C457">
        <v>44863</v>
      </c>
      <c r="D457" t="str">
        <v>Netherlands</v>
      </c>
      <c r="E457" t="str">
        <v>Paseo</v>
      </c>
      <c r="F457">
        <v>4251</v>
      </c>
      <c r="G457">
        <v>10.039999999999999</v>
      </c>
      <c r="H457">
        <v>12</v>
      </c>
      <c r="I457">
        <v>51012</v>
      </c>
      <c r="J457" t="str">
        <v>Yes</v>
      </c>
    </row>
    <row r="458" spans="3:10" x14ac:dyDescent="0.25">
      <c r="C458">
        <v>88352</v>
      </c>
      <c r="D458" t="str">
        <v>Netherlands</v>
      </c>
      <c r="E458" t="str">
        <v>Paseo</v>
      </c>
      <c r="F458">
        <v>1404</v>
      </c>
      <c r="G458">
        <v>10.62</v>
      </c>
      <c r="H458">
        <v>14</v>
      </c>
      <c r="I458">
        <v>19656</v>
      </c>
      <c r="J458" t="str">
        <v>No</v>
      </c>
    </row>
    <row r="459" spans="3:10" x14ac:dyDescent="0.25">
      <c r="C459">
        <v>62741</v>
      </c>
      <c r="D459" t="str">
        <v>Ireland</v>
      </c>
      <c r="E459" t="str">
        <v>Paseo</v>
      </c>
      <c r="F459">
        <v>1583</v>
      </c>
      <c r="G459">
        <v>10.9</v>
      </c>
      <c r="H459">
        <v>15</v>
      </c>
      <c r="I459">
        <v>23745</v>
      </c>
      <c r="J459" t="str">
        <v>No</v>
      </c>
    </row>
    <row r="460" spans="3:10" x14ac:dyDescent="0.25">
      <c r="C460">
        <v>28659</v>
      </c>
      <c r="D460" t="str">
        <v>France</v>
      </c>
      <c r="E460" t="str">
        <v>Paseo</v>
      </c>
      <c r="F460">
        <v>1922</v>
      </c>
      <c r="G460">
        <v>10.06</v>
      </c>
      <c r="H460">
        <v>11</v>
      </c>
      <c r="I460">
        <v>21142</v>
      </c>
      <c r="J460" t="str">
        <v>No</v>
      </c>
    </row>
    <row r="461" spans="3:10" x14ac:dyDescent="0.25">
      <c r="C461">
        <v>62932</v>
      </c>
      <c r="D461" t="str">
        <v>Italy</v>
      </c>
      <c r="E461" t="str">
        <v>Paseo</v>
      </c>
      <c r="F461">
        <v>3675</v>
      </c>
      <c r="G461">
        <v>10.7</v>
      </c>
      <c r="H461">
        <v>16</v>
      </c>
      <c r="I461">
        <v>58800</v>
      </c>
      <c r="J461" t="str">
        <v>Yes</v>
      </c>
    </row>
    <row r="462" spans="3:10" x14ac:dyDescent="0.25">
      <c r="C462">
        <v>94979</v>
      </c>
      <c r="D462" t="str">
        <v>Ireland</v>
      </c>
      <c r="E462" t="str">
        <v>Paseo</v>
      </c>
      <c r="F462">
        <v>2145</v>
      </c>
      <c r="G462">
        <v>10.130000000000001</v>
      </c>
      <c r="H462">
        <v>14</v>
      </c>
      <c r="I462">
        <v>30030</v>
      </c>
      <c r="J462" t="str">
        <v>Yes</v>
      </c>
    </row>
    <row r="463" spans="3:10" x14ac:dyDescent="0.25">
      <c r="C463">
        <v>11171</v>
      </c>
      <c r="D463" t="str">
        <v>Italy</v>
      </c>
      <c r="E463" t="str">
        <v>Paseo</v>
      </c>
      <c r="F463">
        <v>2797</v>
      </c>
      <c r="G463">
        <v>10.65</v>
      </c>
      <c r="H463">
        <v>11</v>
      </c>
      <c r="I463">
        <v>30767</v>
      </c>
      <c r="J463" t="str">
        <v>No</v>
      </c>
    </row>
    <row r="464" spans="3:10" x14ac:dyDescent="0.25">
      <c r="C464">
        <v>59526</v>
      </c>
      <c r="D464" t="str">
        <v>Netherlands</v>
      </c>
      <c r="E464" t="str">
        <v>Paseo</v>
      </c>
      <c r="F464">
        <v>873</v>
      </c>
      <c r="G464">
        <v>10.199999999999999</v>
      </c>
      <c r="H464">
        <v>14</v>
      </c>
      <c r="I464">
        <v>12222</v>
      </c>
      <c r="J464" t="str">
        <v>Yes</v>
      </c>
    </row>
    <row r="465" spans="3:10" x14ac:dyDescent="0.25">
      <c r="C465">
        <v>12907</v>
      </c>
      <c r="D465" t="str">
        <v>Netherlands</v>
      </c>
      <c r="E465" t="str">
        <v>Paseo</v>
      </c>
      <c r="F465">
        <v>2632</v>
      </c>
      <c r="G465">
        <v>10.02</v>
      </c>
      <c r="H465">
        <v>12</v>
      </c>
      <c r="I465">
        <v>31584</v>
      </c>
      <c r="J465" t="str">
        <v>No</v>
      </c>
    </row>
    <row r="466" spans="3:10" x14ac:dyDescent="0.25">
      <c r="C466">
        <v>48338</v>
      </c>
      <c r="D466" t="str">
        <v>Netherlands</v>
      </c>
      <c r="E466" t="str">
        <v>Paseo</v>
      </c>
      <c r="F466">
        <v>1565</v>
      </c>
      <c r="G466">
        <v>10.47</v>
      </c>
      <c r="H466">
        <v>15</v>
      </c>
      <c r="I466">
        <v>23475</v>
      </c>
      <c r="J466" t="str">
        <v>No</v>
      </c>
    </row>
    <row r="467" spans="3:10" x14ac:dyDescent="0.25">
      <c r="C467">
        <v>98040</v>
      </c>
      <c r="D467" t="str">
        <v>Italy</v>
      </c>
      <c r="E467" t="str">
        <v>Paseo</v>
      </c>
      <c r="F467">
        <v>861</v>
      </c>
      <c r="G467">
        <v>10.029999999999999</v>
      </c>
      <c r="H467">
        <v>15</v>
      </c>
      <c r="I467">
        <v>12915</v>
      </c>
      <c r="J467" t="str">
        <v>No</v>
      </c>
    </row>
    <row r="468" spans="3:10" x14ac:dyDescent="0.25">
      <c r="C468">
        <v>34457</v>
      </c>
      <c r="D468" t="str">
        <v>Germany</v>
      </c>
      <c r="E468" t="str">
        <v>Paseo</v>
      </c>
      <c r="F468">
        <v>1372</v>
      </c>
      <c r="G468">
        <v>10.14</v>
      </c>
      <c r="H468">
        <v>11</v>
      </c>
      <c r="I468">
        <v>15092</v>
      </c>
      <c r="J468" t="str">
        <v>Yes</v>
      </c>
    </row>
    <row r="469" spans="3:10" x14ac:dyDescent="0.25">
      <c r="C469">
        <v>95276</v>
      </c>
      <c r="D469" t="str">
        <v>Germany</v>
      </c>
      <c r="E469" t="str">
        <v>Paseo</v>
      </c>
      <c r="F469">
        <v>1760</v>
      </c>
      <c r="G469">
        <v>10.14</v>
      </c>
      <c r="H469">
        <v>11</v>
      </c>
      <c r="I469">
        <v>19360</v>
      </c>
      <c r="J469" t="str">
        <v>Yes</v>
      </c>
    </row>
    <row r="470" spans="3:10" x14ac:dyDescent="0.25">
      <c r="C470">
        <v>32189</v>
      </c>
      <c r="D470" t="str">
        <v>France</v>
      </c>
      <c r="E470" t="str">
        <v>Paseo</v>
      </c>
      <c r="F470">
        <v>918</v>
      </c>
      <c r="G470">
        <v>10.93</v>
      </c>
      <c r="H470">
        <v>12</v>
      </c>
      <c r="I470">
        <v>11016</v>
      </c>
      <c r="J470" t="str">
        <v>No</v>
      </c>
    </row>
    <row r="471" spans="3:10" x14ac:dyDescent="0.25">
      <c r="C471">
        <v>19437</v>
      </c>
      <c r="D471" t="str">
        <v>Italy</v>
      </c>
      <c r="E471" t="str">
        <v>Paseo</v>
      </c>
      <c r="F471">
        <v>678</v>
      </c>
      <c r="G471">
        <v>10.050000000000001</v>
      </c>
      <c r="H471">
        <v>15</v>
      </c>
      <c r="I471">
        <v>10170</v>
      </c>
      <c r="J471" t="str">
        <v>Yes</v>
      </c>
    </row>
    <row r="472" spans="3:10" x14ac:dyDescent="0.25">
      <c r="C472">
        <v>15324</v>
      </c>
      <c r="D472" t="str">
        <v>Netherlands</v>
      </c>
      <c r="E472" t="str">
        <v>Paseo</v>
      </c>
      <c r="F472">
        <v>2222</v>
      </c>
      <c r="G472">
        <v>10.6</v>
      </c>
      <c r="H472">
        <v>12</v>
      </c>
      <c r="I472">
        <v>26664</v>
      </c>
      <c r="J472" t="str">
        <v>No</v>
      </c>
    </row>
    <row r="473" spans="3:10" x14ac:dyDescent="0.25">
      <c r="C473">
        <v>69531</v>
      </c>
      <c r="D473" t="str">
        <v>Ireland</v>
      </c>
      <c r="E473" t="str">
        <v>Paseo</v>
      </c>
      <c r="F473">
        <v>1934</v>
      </c>
      <c r="G473">
        <v>10.82</v>
      </c>
      <c r="H473">
        <v>15</v>
      </c>
      <c r="I473">
        <v>29010</v>
      </c>
      <c r="J473" t="str">
        <v>Yes</v>
      </c>
    </row>
    <row r="474" spans="3:10" x14ac:dyDescent="0.25">
      <c r="C474">
        <v>60273</v>
      </c>
      <c r="D474" t="str">
        <v>France</v>
      </c>
      <c r="E474" t="str">
        <v>Paseo</v>
      </c>
      <c r="F474">
        <v>2425</v>
      </c>
      <c r="G474">
        <v>10.6</v>
      </c>
      <c r="H474">
        <v>16</v>
      </c>
      <c r="I474">
        <v>38800</v>
      </c>
      <c r="J474" t="str">
        <v>No</v>
      </c>
    </row>
    <row r="475" spans="3:10" x14ac:dyDescent="0.25">
      <c r="C475">
        <v>26751</v>
      </c>
      <c r="D475" t="str">
        <v>Germany</v>
      </c>
      <c r="E475" t="str">
        <v>Paseo</v>
      </c>
      <c r="F475">
        <v>57</v>
      </c>
      <c r="G475">
        <v>10.95</v>
      </c>
      <c r="H475">
        <v>14</v>
      </c>
      <c r="I475">
        <v>798</v>
      </c>
      <c r="J475" t="str">
        <v>Yes</v>
      </c>
    </row>
    <row r="476" spans="3:10" x14ac:dyDescent="0.25">
      <c r="C476">
        <v>67216</v>
      </c>
      <c r="D476" t="str">
        <v>Germany</v>
      </c>
      <c r="E476" t="str">
        <v>Paseo</v>
      </c>
      <c r="F476">
        <v>1085</v>
      </c>
      <c r="G476">
        <v>10.72</v>
      </c>
      <c r="H476">
        <v>12</v>
      </c>
      <c r="I476">
        <v>13020</v>
      </c>
      <c r="J476" t="str">
        <v>No</v>
      </c>
    </row>
    <row r="477" spans="3:10" x14ac:dyDescent="0.25">
      <c r="C477">
        <v>76243</v>
      </c>
      <c r="D477" t="str">
        <v>France</v>
      </c>
      <c r="E477" t="str">
        <v>Paseo</v>
      </c>
      <c r="F477">
        <v>2101</v>
      </c>
      <c r="G477">
        <v>10.56</v>
      </c>
      <c r="H477">
        <v>12</v>
      </c>
      <c r="I477">
        <v>25212</v>
      </c>
      <c r="J477" t="str">
        <v>Yes</v>
      </c>
    </row>
    <row r="478" spans="3:10" x14ac:dyDescent="0.25">
      <c r="C478">
        <v>17855</v>
      </c>
      <c r="D478" t="str">
        <v>Germany</v>
      </c>
      <c r="E478" t="str">
        <v>Paseo</v>
      </c>
      <c r="F478">
        <v>1706</v>
      </c>
      <c r="G478">
        <v>10.1</v>
      </c>
      <c r="H478">
        <v>14</v>
      </c>
      <c r="I478">
        <v>23884</v>
      </c>
      <c r="J478" t="str">
        <v>No</v>
      </c>
    </row>
    <row r="479" spans="3:10" x14ac:dyDescent="0.25">
      <c r="C479">
        <v>75990</v>
      </c>
      <c r="D479" t="str">
        <v>Spain</v>
      </c>
      <c r="E479" t="str">
        <v>Paseo</v>
      </c>
      <c r="F479">
        <v>2689</v>
      </c>
      <c r="G479">
        <v>10.01</v>
      </c>
      <c r="H479">
        <v>14</v>
      </c>
      <c r="I479">
        <v>37646</v>
      </c>
      <c r="J479" t="str">
        <v>No</v>
      </c>
    </row>
    <row r="480" spans="3:10" x14ac:dyDescent="0.25">
      <c r="C480">
        <v>82134</v>
      </c>
      <c r="D480" t="str">
        <v>France</v>
      </c>
      <c r="E480" t="str">
        <v>Paseo</v>
      </c>
      <c r="F480">
        <v>1198</v>
      </c>
      <c r="G480">
        <v>10.78</v>
      </c>
      <c r="H480">
        <v>16</v>
      </c>
      <c r="I480">
        <v>19168</v>
      </c>
      <c r="J480" t="str">
        <v>Yes</v>
      </c>
    </row>
    <row r="481" spans="3:10" x14ac:dyDescent="0.25">
      <c r="C481">
        <v>96074</v>
      </c>
      <c r="D481" t="str">
        <v>Italy</v>
      </c>
      <c r="E481" t="str">
        <v>Paseo</v>
      </c>
      <c r="F481">
        <v>727</v>
      </c>
      <c r="G481">
        <v>10.54</v>
      </c>
      <c r="H481">
        <v>11</v>
      </c>
      <c r="I481">
        <v>7997</v>
      </c>
      <c r="J481" t="str">
        <v>Yes</v>
      </c>
    </row>
    <row r="482" spans="3:10" x14ac:dyDescent="0.25">
      <c r="C482">
        <v>15295</v>
      </c>
      <c r="D482" t="str">
        <v>Italy</v>
      </c>
      <c r="E482" t="str">
        <v>Paseo</v>
      </c>
      <c r="F482">
        <v>2013</v>
      </c>
      <c r="G482">
        <v>10.96</v>
      </c>
      <c r="H482">
        <v>15</v>
      </c>
      <c r="I482">
        <v>30195</v>
      </c>
      <c r="J482" t="str">
        <v>Yes</v>
      </c>
    </row>
    <row r="483" spans="3:10" x14ac:dyDescent="0.25">
      <c r="C483">
        <v>42036</v>
      </c>
      <c r="D483" t="str">
        <v>Spain</v>
      </c>
      <c r="E483" t="str">
        <v>Paseo</v>
      </c>
      <c r="F483">
        <v>1197</v>
      </c>
      <c r="G483">
        <v>10.02</v>
      </c>
      <c r="H483">
        <v>14</v>
      </c>
      <c r="I483">
        <v>16758</v>
      </c>
      <c r="J483" t="str">
        <v>No</v>
      </c>
    </row>
    <row r="484" spans="3:10" x14ac:dyDescent="0.25">
      <c r="C484">
        <v>85076</v>
      </c>
      <c r="D484" t="str">
        <v>Spain</v>
      </c>
      <c r="E484" t="str">
        <v>Paseo</v>
      </c>
      <c r="F484">
        <v>974</v>
      </c>
      <c r="G484">
        <v>10.26</v>
      </c>
      <c r="H484">
        <v>11</v>
      </c>
      <c r="I484">
        <v>10714</v>
      </c>
      <c r="J484" t="str">
        <v>No</v>
      </c>
    </row>
    <row r="485" spans="3:10" x14ac:dyDescent="0.25">
      <c r="C485">
        <v>96066</v>
      </c>
      <c r="D485" t="str">
        <v>Italy</v>
      </c>
      <c r="E485" t="str">
        <v>Paseo</v>
      </c>
      <c r="F485">
        <v>602</v>
      </c>
      <c r="G485">
        <v>10.89</v>
      </c>
      <c r="H485">
        <v>17</v>
      </c>
      <c r="I485">
        <v>10234</v>
      </c>
      <c r="J485" t="str">
        <v>No</v>
      </c>
    </row>
    <row r="486" spans="3:10" x14ac:dyDescent="0.25">
      <c r="C486">
        <v>71852</v>
      </c>
      <c r="D486" t="str">
        <v>Netherlands</v>
      </c>
      <c r="E486" t="str">
        <v>Paseo</v>
      </c>
      <c r="F486">
        <v>2852</v>
      </c>
      <c r="G486">
        <v>10.24</v>
      </c>
      <c r="H486">
        <v>13</v>
      </c>
      <c r="I486">
        <v>37076</v>
      </c>
      <c r="J486" t="str">
        <v>Yes</v>
      </c>
    </row>
    <row r="487" spans="3:10" x14ac:dyDescent="0.25">
      <c r="C487">
        <v>64975</v>
      </c>
      <c r="D487" t="str">
        <v>Ireland</v>
      </c>
      <c r="E487" t="str">
        <v>Velo</v>
      </c>
      <c r="F487">
        <v>1500</v>
      </c>
      <c r="G487">
        <v>120.36</v>
      </c>
      <c r="H487">
        <v>121</v>
      </c>
      <c r="I487">
        <v>181500</v>
      </c>
      <c r="J487" t="str">
        <v>Yes</v>
      </c>
    </row>
    <row r="488" spans="3:10" x14ac:dyDescent="0.25">
      <c r="C488">
        <v>13569</v>
      </c>
      <c r="D488" t="str">
        <v>Netherlands</v>
      </c>
      <c r="E488" t="str">
        <v>Velo</v>
      </c>
      <c r="F488">
        <v>655</v>
      </c>
      <c r="G488">
        <v>120.96</v>
      </c>
      <c r="H488">
        <v>150</v>
      </c>
      <c r="I488">
        <v>98250</v>
      </c>
      <c r="J488" t="str">
        <v>Yes</v>
      </c>
    </row>
    <row r="489" spans="3:10" x14ac:dyDescent="0.25">
      <c r="C489">
        <v>50889</v>
      </c>
      <c r="D489" t="str">
        <v>Italy</v>
      </c>
      <c r="E489" t="str">
        <v>Velo</v>
      </c>
      <c r="F489">
        <v>1465</v>
      </c>
      <c r="G489">
        <v>120.51</v>
      </c>
      <c r="H489">
        <v>180</v>
      </c>
      <c r="I489">
        <v>263700</v>
      </c>
      <c r="J489" t="str">
        <v>No</v>
      </c>
    </row>
    <row r="490" spans="3:10" x14ac:dyDescent="0.25">
      <c r="C490">
        <v>64530</v>
      </c>
      <c r="D490" t="str">
        <v>Spain</v>
      </c>
      <c r="E490" t="str">
        <v>Velo</v>
      </c>
      <c r="F490">
        <v>1333</v>
      </c>
      <c r="G490">
        <v>120.39</v>
      </c>
      <c r="H490">
        <v>135</v>
      </c>
      <c r="I490">
        <v>179955</v>
      </c>
      <c r="J490" t="str">
        <v>No</v>
      </c>
    </row>
    <row r="491" spans="3:10" x14ac:dyDescent="0.25">
      <c r="C491">
        <v>76757</v>
      </c>
      <c r="D491" t="str">
        <v>France</v>
      </c>
      <c r="E491" t="str">
        <v>Velo</v>
      </c>
      <c r="F491">
        <v>1659</v>
      </c>
      <c r="G491">
        <v>120.55</v>
      </c>
      <c r="H491">
        <v>144</v>
      </c>
      <c r="I491">
        <v>238896</v>
      </c>
      <c r="J491" t="str">
        <v>No</v>
      </c>
    </row>
    <row r="492" spans="3:10" x14ac:dyDescent="0.25">
      <c r="C492">
        <v>25932</v>
      </c>
      <c r="D492" t="str">
        <v>Spain</v>
      </c>
      <c r="E492" t="str">
        <v>Velo</v>
      </c>
      <c r="F492">
        <v>500</v>
      </c>
      <c r="G492">
        <v>120.28</v>
      </c>
      <c r="H492">
        <v>144</v>
      </c>
      <c r="I492">
        <v>72000</v>
      </c>
      <c r="J492" t="str">
        <v>No</v>
      </c>
    </row>
    <row r="493" spans="3:10" x14ac:dyDescent="0.25">
      <c r="C493">
        <v>21835</v>
      </c>
      <c r="D493" t="str">
        <v>Germany</v>
      </c>
      <c r="E493" t="str">
        <v>Velo</v>
      </c>
      <c r="F493">
        <v>1307</v>
      </c>
      <c r="G493">
        <v>120.86</v>
      </c>
      <c r="H493">
        <v>173</v>
      </c>
      <c r="I493">
        <v>226111</v>
      </c>
      <c r="J493" t="str">
        <v>Yes</v>
      </c>
    </row>
    <row r="494" spans="3:10" x14ac:dyDescent="0.25">
      <c r="C494">
        <v>26731</v>
      </c>
      <c r="D494" t="str">
        <v>Netherlands</v>
      </c>
      <c r="E494" t="str">
        <v>Velo</v>
      </c>
      <c r="F494">
        <v>2431</v>
      </c>
      <c r="G494">
        <v>120.43</v>
      </c>
      <c r="H494">
        <v>149</v>
      </c>
      <c r="I494">
        <v>362219</v>
      </c>
      <c r="J494" t="str">
        <v>Yes</v>
      </c>
    </row>
    <row r="495" spans="3:10" x14ac:dyDescent="0.25">
      <c r="C495">
        <v>27474</v>
      </c>
      <c r="D495" t="str">
        <v>Italy</v>
      </c>
      <c r="E495" t="str">
        <v>Velo</v>
      </c>
      <c r="F495">
        <v>1421</v>
      </c>
      <c r="G495">
        <v>120.29</v>
      </c>
      <c r="H495">
        <v>177</v>
      </c>
      <c r="I495">
        <v>251517</v>
      </c>
      <c r="J495" t="str">
        <v>Yes</v>
      </c>
    </row>
    <row r="496" spans="3:10" x14ac:dyDescent="0.25">
      <c r="C496">
        <v>11491</v>
      </c>
      <c r="D496" t="str">
        <v>Netherlands</v>
      </c>
      <c r="E496" t="str">
        <v>Velo</v>
      </c>
      <c r="F496">
        <v>567</v>
      </c>
      <c r="G496">
        <v>120.22</v>
      </c>
      <c r="H496">
        <v>140</v>
      </c>
      <c r="I496">
        <v>79380</v>
      </c>
      <c r="J496" t="str">
        <v>Yes</v>
      </c>
    </row>
    <row r="497" spans="3:10" x14ac:dyDescent="0.25">
      <c r="C497">
        <v>13202</v>
      </c>
      <c r="D497" t="str">
        <v>Italy</v>
      </c>
      <c r="E497" t="str">
        <v>Velo</v>
      </c>
      <c r="F497">
        <v>2832</v>
      </c>
      <c r="G497">
        <v>120.01</v>
      </c>
      <c r="H497">
        <v>142</v>
      </c>
      <c r="I497">
        <v>402144</v>
      </c>
      <c r="J497" t="str">
        <v>No</v>
      </c>
    </row>
    <row r="498" spans="3:10" x14ac:dyDescent="0.25">
      <c r="C498">
        <v>44896</v>
      </c>
      <c r="D498" t="str">
        <v>Germany</v>
      </c>
      <c r="E498" t="str">
        <v>Velo</v>
      </c>
      <c r="F498">
        <v>681</v>
      </c>
      <c r="G498">
        <v>120.46</v>
      </c>
      <c r="H498">
        <v>128</v>
      </c>
      <c r="I498">
        <v>87168</v>
      </c>
      <c r="J498" t="str">
        <v>No</v>
      </c>
    </row>
    <row r="499" spans="3:10" x14ac:dyDescent="0.25">
      <c r="C499">
        <v>93247</v>
      </c>
      <c r="D499" t="str">
        <v>Ireland</v>
      </c>
      <c r="E499" t="str">
        <v>Velo</v>
      </c>
      <c r="F499">
        <v>2294</v>
      </c>
      <c r="G499">
        <v>121</v>
      </c>
      <c r="H499">
        <v>130</v>
      </c>
      <c r="I499">
        <v>298220</v>
      </c>
      <c r="J499" t="str">
        <v>Yes</v>
      </c>
    </row>
    <row r="500" spans="3:10" x14ac:dyDescent="0.25">
      <c r="C500">
        <v>22140</v>
      </c>
      <c r="D500" t="str">
        <v>Italy</v>
      </c>
      <c r="E500" t="str">
        <v>Velo</v>
      </c>
      <c r="F500">
        <v>588</v>
      </c>
      <c r="G500">
        <v>120.57</v>
      </c>
      <c r="H500">
        <v>150</v>
      </c>
      <c r="I500">
        <v>88200</v>
      </c>
      <c r="J500" t="str">
        <v>Yes</v>
      </c>
    </row>
    <row r="501" spans="3:10" x14ac:dyDescent="0.25">
      <c r="C501">
        <v>40479</v>
      </c>
      <c r="D501" t="str">
        <v>Spain</v>
      </c>
      <c r="E501" t="str">
        <v>Velo</v>
      </c>
      <c r="F501">
        <v>1493</v>
      </c>
      <c r="G501">
        <v>120.19</v>
      </c>
      <c r="H501">
        <v>144</v>
      </c>
      <c r="I501">
        <v>214992</v>
      </c>
      <c r="J501" t="str">
        <v>Yes</v>
      </c>
    </row>
    <row r="502" spans="3:10" x14ac:dyDescent="0.25">
      <c r="C502">
        <v>66224</v>
      </c>
      <c r="D502" t="str">
        <v>Ireland</v>
      </c>
      <c r="E502" t="str">
        <v>Velo</v>
      </c>
      <c r="F502">
        <v>1566</v>
      </c>
      <c r="G502">
        <v>120.03</v>
      </c>
      <c r="H502">
        <v>169</v>
      </c>
      <c r="I502">
        <v>264654</v>
      </c>
      <c r="J502" t="str">
        <v>No</v>
      </c>
    </row>
    <row r="503" spans="3:10" x14ac:dyDescent="0.25">
      <c r="C503">
        <v>59074</v>
      </c>
      <c r="D503" t="str">
        <v>Ireland</v>
      </c>
      <c r="E503" t="str">
        <v>Velo</v>
      </c>
      <c r="F503">
        <v>635</v>
      </c>
      <c r="G503">
        <v>120.02</v>
      </c>
      <c r="H503">
        <v>175</v>
      </c>
      <c r="I503">
        <v>111125</v>
      </c>
      <c r="J503" t="str">
        <v>No</v>
      </c>
    </row>
    <row r="504" spans="3:10" x14ac:dyDescent="0.25">
      <c r="C504">
        <v>10786</v>
      </c>
      <c r="D504" t="str">
        <v>France</v>
      </c>
      <c r="E504" t="str">
        <v>Velo</v>
      </c>
      <c r="F504">
        <v>245</v>
      </c>
      <c r="G504">
        <v>120.96</v>
      </c>
      <c r="H504">
        <v>148</v>
      </c>
      <c r="I504">
        <v>36260</v>
      </c>
      <c r="J504" t="str">
        <v>Yes</v>
      </c>
    </row>
    <row r="505" spans="3:10" x14ac:dyDescent="0.25">
      <c r="C505">
        <v>22200</v>
      </c>
      <c r="D505" t="str">
        <v>Germany</v>
      </c>
      <c r="E505" t="str">
        <v>Velo</v>
      </c>
      <c r="F505">
        <v>2145</v>
      </c>
      <c r="G505">
        <v>120.42</v>
      </c>
      <c r="H505">
        <v>178</v>
      </c>
      <c r="I505">
        <v>381810</v>
      </c>
      <c r="J505" t="str">
        <v>No</v>
      </c>
    </row>
    <row r="506" spans="3:10" x14ac:dyDescent="0.25">
      <c r="C506">
        <v>21242</v>
      </c>
      <c r="D506" t="str">
        <v>France</v>
      </c>
      <c r="E506" t="str">
        <v>Velo</v>
      </c>
      <c r="F506">
        <v>853</v>
      </c>
      <c r="G506">
        <v>121</v>
      </c>
      <c r="H506">
        <v>159</v>
      </c>
      <c r="I506">
        <v>135627</v>
      </c>
      <c r="J506" t="str">
        <v>Yes</v>
      </c>
    </row>
    <row r="507" spans="3:10" x14ac:dyDescent="0.25">
      <c r="C507">
        <v>83010</v>
      </c>
      <c r="D507" t="str">
        <v>Netherlands</v>
      </c>
      <c r="E507" t="str">
        <v>Velo</v>
      </c>
      <c r="F507">
        <v>2632</v>
      </c>
      <c r="G507">
        <v>120.47</v>
      </c>
      <c r="H507">
        <v>180</v>
      </c>
      <c r="I507">
        <v>473760</v>
      </c>
      <c r="J507" t="str">
        <v>Yes</v>
      </c>
    </row>
    <row r="508" spans="3:10" x14ac:dyDescent="0.25">
      <c r="C508">
        <v>11942</v>
      </c>
      <c r="D508" t="str">
        <v>Germany</v>
      </c>
      <c r="E508" t="str">
        <v>Velo</v>
      </c>
      <c r="F508">
        <v>1013</v>
      </c>
      <c r="G508">
        <v>120.99</v>
      </c>
      <c r="H508">
        <v>130</v>
      </c>
      <c r="I508">
        <v>131690</v>
      </c>
      <c r="J508" t="str">
        <v>Yes</v>
      </c>
    </row>
    <row r="509" spans="3:10" x14ac:dyDescent="0.25">
      <c r="C509">
        <v>14101</v>
      </c>
      <c r="D509" t="str">
        <v>Italy</v>
      </c>
      <c r="E509" t="str">
        <v>Velo</v>
      </c>
      <c r="F509">
        <v>547</v>
      </c>
      <c r="G509">
        <v>120.46</v>
      </c>
      <c r="H509">
        <v>146</v>
      </c>
      <c r="I509">
        <v>79862</v>
      </c>
      <c r="J509" t="str">
        <v>Yes</v>
      </c>
    </row>
    <row r="510" spans="3:10" x14ac:dyDescent="0.25">
      <c r="C510">
        <v>78244</v>
      </c>
      <c r="D510" t="str">
        <v>Spain</v>
      </c>
      <c r="E510" t="str">
        <v>Velo</v>
      </c>
      <c r="F510">
        <v>861</v>
      </c>
      <c r="G510">
        <v>120.09</v>
      </c>
      <c r="H510">
        <v>163</v>
      </c>
      <c r="I510">
        <v>140343</v>
      </c>
      <c r="J510" t="str">
        <v>Yes</v>
      </c>
    </row>
    <row r="511" spans="3:10" x14ac:dyDescent="0.25">
      <c r="C511">
        <v>32556</v>
      </c>
      <c r="D511" t="str">
        <v>Netherlands</v>
      </c>
      <c r="E511" t="str">
        <v>Velo</v>
      </c>
      <c r="F511">
        <v>1916</v>
      </c>
      <c r="G511">
        <v>120.47</v>
      </c>
      <c r="H511">
        <v>176</v>
      </c>
      <c r="I511">
        <v>337216</v>
      </c>
      <c r="J511" t="str">
        <v>Yes</v>
      </c>
    </row>
    <row r="512" spans="3:10" x14ac:dyDescent="0.25">
      <c r="C512">
        <v>44473</v>
      </c>
      <c r="D512" t="str">
        <v>Italy</v>
      </c>
      <c r="E512" t="str">
        <v>Velo</v>
      </c>
      <c r="F512">
        <v>914</v>
      </c>
      <c r="G512">
        <v>120.09</v>
      </c>
      <c r="H512">
        <v>173</v>
      </c>
      <c r="I512">
        <v>158122</v>
      </c>
      <c r="J512" t="str">
        <v>Yes</v>
      </c>
    </row>
    <row r="513" spans="3:10" x14ac:dyDescent="0.25">
      <c r="C513">
        <v>61056</v>
      </c>
      <c r="D513" t="str">
        <v>Germany</v>
      </c>
      <c r="E513" t="str">
        <v>Velo</v>
      </c>
      <c r="F513">
        <v>809</v>
      </c>
      <c r="G513">
        <v>120.48</v>
      </c>
      <c r="H513">
        <v>138</v>
      </c>
      <c r="I513">
        <v>111642</v>
      </c>
      <c r="J513" t="str">
        <v>Yes</v>
      </c>
    </row>
    <row r="514" spans="3:10" x14ac:dyDescent="0.25">
      <c r="C514">
        <v>34353</v>
      </c>
      <c r="D514" t="str">
        <v>Germany</v>
      </c>
      <c r="E514" t="str">
        <v>Velo</v>
      </c>
      <c r="F514">
        <v>510</v>
      </c>
      <c r="G514">
        <v>120.3</v>
      </c>
      <c r="H514">
        <v>175</v>
      </c>
      <c r="I514">
        <v>89250</v>
      </c>
      <c r="J514" t="str">
        <v>No</v>
      </c>
    </row>
    <row r="515" spans="3:10" x14ac:dyDescent="0.25">
      <c r="C515">
        <v>53800</v>
      </c>
      <c r="D515" t="str">
        <v>Ireland</v>
      </c>
      <c r="E515" t="str">
        <v>Velo</v>
      </c>
      <c r="F515">
        <v>1545</v>
      </c>
      <c r="G515">
        <v>120.29</v>
      </c>
      <c r="H515">
        <v>171</v>
      </c>
      <c r="I515">
        <v>264195</v>
      </c>
      <c r="J515" t="str">
        <v>No</v>
      </c>
    </row>
    <row r="516" spans="3:10" x14ac:dyDescent="0.25">
      <c r="C516">
        <v>42771</v>
      </c>
      <c r="D516" t="str">
        <v>Italy</v>
      </c>
      <c r="E516" t="str">
        <v>Velo</v>
      </c>
      <c r="F516">
        <v>2907</v>
      </c>
      <c r="G516">
        <v>120.72</v>
      </c>
      <c r="H516">
        <v>171</v>
      </c>
      <c r="I516">
        <v>497097</v>
      </c>
      <c r="J516" t="str">
        <v>Yes</v>
      </c>
    </row>
    <row r="517" spans="3:10" x14ac:dyDescent="0.25">
      <c r="C517">
        <v>62488</v>
      </c>
      <c r="D517" t="str">
        <v>Germany</v>
      </c>
      <c r="E517" t="str">
        <v>Velo</v>
      </c>
      <c r="F517">
        <v>2877</v>
      </c>
      <c r="G517">
        <v>120.3</v>
      </c>
      <c r="H517">
        <v>164</v>
      </c>
      <c r="I517">
        <v>471828</v>
      </c>
      <c r="J517" t="str">
        <v>Yes</v>
      </c>
    </row>
    <row r="518" spans="3:10" x14ac:dyDescent="0.25">
      <c r="C518">
        <v>87142</v>
      </c>
      <c r="D518" t="str">
        <v>Germany</v>
      </c>
      <c r="E518" t="str">
        <v>Velo</v>
      </c>
      <c r="F518">
        <v>472</v>
      </c>
      <c r="G518">
        <v>120.48</v>
      </c>
      <c r="H518">
        <v>143</v>
      </c>
      <c r="I518">
        <v>67496</v>
      </c>
      <c r="J518" t="str">
        <v>Yes</v>
      </c>
    </row>
    <row r="519" spans="3:10" x14ac:dyDescent="0.25">
      <c r="C519">
        <v>98093</v>
      </c>
      <c r="D519" t="str">
        <v>Spain</v>
      </c>
      <c r="E519" t="str">
        <v>Velo</v>
      </c>
      <c r="F519">
        <v>1498</v>
      </c>
      <c r="G519">
        <v>120.98</v>
      </c>
      <c r="H519">
        <v>134</v>
      </c>
      <c r="I519">
        <v>200732</v>
      </c>
      <c r="J519" t="str">
        <v>Yes</v>
      </c>
    </row>
    <row r="520" spans="3:10" x14ac:dyDescent="0.25">
      <c r="C520">
        <v>17096</v>
      </c>
      <c r="D520" t="str">
        <v>Spain</v>
      </c>
      <c r="E520" t="str">
        <v>Velo</v>
      </c>
      <c r="F520">
        <v>905</v>
      </c>
      <c r="G520">
        <v>120.62</v>
      </c>
      <c r="H520">
        <v>171</v>
      </c>
      <c r="I520">
        <v>154755</v>
      </c>
      <c r="J520" t="str">
        <v>Yes</v>
      </c>
    </row>
    <row r="521" spans="3:10" x14ac:dyDescent="0.25">
      <c r="C521">
        <v>61157</v>
      </c>
      <c r="D521" t="str">
        <v>Spain</v>
      </c>
      <c r="E521" t="str">
        <v>Velo</v>
      </c>
      <c r="F521">
        <v>2861</v>
      </c>
      <c r="G521">
        <v>120.82</v>
      </c>
      <c r="H521">
        <v>168</v>
      </c>
      <c r="I521">
        <v>480648</v>
      </c>
      <c r="J521" t="str">
        <v>Yes</v>
      </c>
    </row>
    <row r="522" spans="3:10" x14ac:dyDescent="0.25">
      <c r="C522">
        <v>98881</v>
      </c>
      <c r="D522" t="str">
        <v>Ireland</v>
      </c>
      <c r="E522" t="str">
        <v>Velo</v>
      </c>
      <c r="F522">
        <v>2110</v>
      </c>
      <c r="G522">
        <v>120.48</v>
      </c>
      <c r="H522">
        <v>150</v>
      </c>
      <c r="I522">
        <v>316500</v>
      </c>
      <c r="J522" t="str">
        <v>No</v>
      </c>
    </row>
    <row r="523" spans="3:10" x14ac:dyDescent="0.25">
      <c r="C523">
        <v>77275</v>
      </c>
      <c r="D523" t="str">
        <v>Netherlands</v>
      </c>
      <c r="E523" t="str">
        <v>Velo</v>
      </c>
      <c r="F523">
        <v>384</v>
      </c>
      <c r="G523">
        <v>120.2</v>
      </c>
      <c r="H523">
        <v>180</v>
      </c>
      <c r="I523">
        <v>69120</v>
      </c>
      <c r="J523" t="str">
        <v>Yes</v>
      </c>
    </row>
    <row r="524" spans="3:10" x14ac:dyDescent="0.25">
      <c r="C524">
        <v>50487</v>
      </c>
      <c r="D524" t="str">
        <v>Netherlands</v>
      </c>
      <c r="E524" t="str">
        <v>Velo</v>
      </c>
      <c r="F524">
        <v>1582</v>
      </c>
      <c r="G524">
        <v>120.04</v>
      </c>
      <c r="H524">
        <v>181</v>
      </c>
      <c r="I524">
        <v>286342</v>
      </c>
      <c r="J524" t="str">
        <v>Yes</v>
      </c>
    </row>
    <row r="525" spans="3:10" x14ac:dyDescent="0.25">
      <c r="C525">
        <v>41771</v>
      </c>
      <c r="D525" t="str">
        <v>France</v>
      </c>
      <c r="E525" t="str">
        <v>Velo</v>
      </c>
      <c r="F525">
        <v>639</v>
      </c>
      <c r="G525">
        <v>120.61</v>
      </c>
      <c r="H525">
        <v>145</v>
      </c>
      <c r="I525">
        <v>92655</v>
      </c>
      <c r="J525" t="str">
        <v>No</v>
      </c>
    </row>
    <row r="526" spans="3:10" x14ac:dyDescent="0.25">
      <c r="C526">
        <v>82959</v>
      </c>
      <c r="D526" t="str">
        <v>Ireland</v>
      </c>
      <c r="E526" t="str">
        <v>Velo</v>
      </c>
      <c r="F526">
        <v>1262</v>
      </c>
      <c r="G526">
        <v>120.05</v>
      </c>
      <c r="H526">
        <v>161</v>
      </c>
      <c r="I526">
        <v>203182</v>
      </c>
      <c r="J526" t="str">
        <v>No</v>
      </c>
    </row>
    <row r="527" spans="3:10" x14ac:dyDescent="0.25">
      <c r="C527">
        <v>80718</v>
      </c>
      <c r="D527" t="str">
        <v>Italy</v>
      </c>
      <c r="E527" t="str">
        <v>Velo</v>
      </c>
      <c r="F527">
        <v>606</v>
      </c>
      <c r="G527">
        <v>120.91</v>
      </c>
      <c r="H527">
        <v>175</v>
      </c>
      <c r="I527">
        <v>106050</v>
      </c>
      <c r="J527" t="str">
        <v>Yes</v>
      </c>
    </row>
    <row r="528" spans="3:10" x14ac:dyDescent="0.25">
      <c r="C528">
        <v>86993</v>
      </c>
      <c r="D528" t="str">
        <v>Italy</v>
      </c>
      <c r="E528" t="str">
        <v>Velo</v>
      </c>
      <c r="F528">
        <v>2574</v>
      </c>
      <c r="G528">
        <v>120.64</v>
      </c>
      <c r="H528">
        <v>130</v>
      </c>
      <c r="I528">
        <v>334620</v>
      </c>
      <c r="J528" t="str">
        <v>Yes</v>
      </c>
    </row>
    <row r="529" spans="3:10" x14ac:dyDescent="0.25">
      <c r="C529">
        <v>49425</v>
      </c>
      <c r="D529" t="str">
        <v>Ireland</v>
      </c>
      <c r="E529" t="str">
        <v>Velo</v>
      </c>
      <c r="F529">
        <v>639</v>
      </c>
      <c r="G529">
        <v>120.18</v>
      </c>
      <c r="H529">
        <v>174</v>
      </c>
      <c r="I529">
        <v>111186</v>
      </c>
      <c r="J529" t="str">
        <v>No</v>
      </c>
    </row>
    <row r="530" spans="3:10" x14ac:dyDescent="0.25">
      <c r="C530">
        <v>87323</v>
      </c>
      <c r="D530" t="str">
        <v>Netherlands</v>
      </c>
      <c r="E530" t="str">
        <v>Velo</v>
      </c>
      <c r="F530">
        <v>1135</v>
      </c>
      <c r="G530">
        <v>120.57</v>
      </c>
      <c r="H530">
        <v>174</v>
      </c>
      <c r="I530">
        <v>197490</v>
      </c>
      <c r="J530" t="str">
        <v>Yes</v>
      </c>
    </row>
    <row r="531" spans="3:10" x14ac:dyDescent="0.25">
      <c r="C531">
        <v>67365</v>
      </c>
      <c r="D531" t="str">
        <v>France</v>
      </c>
      <c r="E531" t="str">
        <v>Velo</v>
      </c>
      <c r="F531">
        <v>1976</v>
      </c>
      <c r="G531">
        <v>120.95</v>
      </c>
      <c r="H531">
        <v>141</v>
      </c>
      <c r="I531">
        <v>278616</v>
      </c>
      <c r="J531" t="str">
        <v>No</v>
      </c>
    </row>
    <row r="532" spans="3:10" x14ac:dyDescent="0.25">
      <c r="C532">
        <v>21831</v>
      </c>
      <c r="D532" t="str">
        <v>Italy</v>
      </c>
      <c r="E532" t="str">
        <v>Velo</v>
      </c>
      <c r="F532">
        <v>2821</v>
      </c>
      <c r="G532">
        <v>120.82</v>
      </c>
      <c r="H532">
        <v>149</v>
      </c>
      <c r="I532">
        <v>420329</v>
      </c>
      <c r="J532" t="str">
        <v>Yes</v>
      </c>
    </row>
    <row r="533" spans="3:10" x14ac:dyDescent="0.25">
      <c r="C533">
        <v>59693</v>
      </c>
      <c r="D533" t="str">
        <v>Ireland</v>
      </c>
      <c r="E533" t="str">
        <v>Velo</v>
      </c>
      <c r="F533">
        <v>2628</v>
      </c>
      <c r="G533">
        <v>120.36</v>
      </c>
      <c r="H533">
        <v>123</v>
      </c>
      <c r="I533">
        <v>323244</v>
      </c>
      <c r="J533" t="str">
        <v>No</v>
      </c>
    </row>
    <row r="534" spans="3:10" x14ac:dyDescent="0.25">
      <c r="C534">
        <v>70172</v>
      </c>
      <c r="D534" t="str">
        <v>France</v>
      </c>
      <c r="E534" t="str">
        <v>Velo</v>
      </c>
      <c r="F534">
        <v>3997</v>
      </c>
      <c r="G534">
        <v>120.64</v>
      </c>
      <c r="H534">
        <v>128</v>
      </c>
      <c r="I534">
        <v>511616</v>
      </c>
      <c r="J534" t="str">
        <v>Yes</v>
      </c>
    </row>
    <row r="535" spans="3:10" x14ac:dyDescent="0.25">
      <c r="C535">
        <v>74370</v>
      </c>
      <c r="D535" t="str">
        <v>Netherlands</v>
      </c>
      <c r="E535" t="str">
        <v>Velo</v>
      </c>
      <c r="F535">
        <v>2646</v>
      </c>
      <c r="G535">
        <v>120.49</v>
      </c>
      <c r="H535">
        <v>156</v>
      </c>
      <c r="I535">
        <v>412776</v>
      </c>
      <c r="J535" t="str">
        <v>No</v>
      </c>
    </row>
    <row r="536" spans="3:10" x14ac:dyDescent="0.25">
      <c r="C536">
        <v>22780</v>
      </c>
      <c r="D536" t="str">
        <v>Germany</v>
      </c>
      <c r="E536" t="str">
        <v>Velo</v>
      </c>
      <c r="F536">
        <v>2966</v>
      </c>
      <c r="G536">
        <v>120.2</v>
      </c>
      <c r="H536">
        <v>128</v>
      </c>
      <c r="I536">
        <v>379648</v>
      </c>
      <c r="J536" t="str">
        <v>Yes</v>
      </c>
    </row>
    <row r="537" spans="3:10" x14ac:dyDescent="0.25">
      <c r="C537">
        <v>63231</v>
      </c>
      <c r="D537" t="str">
        <v>Ireland</v>
      </c>
      <c r="E537" t="str">
        <v>Velo</v>
      </c>
      <c r="F537">
        <v>790</v>
      </c>
      <c r="G537">
        <v>120.81</v>
      </c>
      <c r="H537">
        <v>131</v>
      </c>
      <c r="I537">
        <v>103490</v>
      </c>
      <c r="J537" t="str">
        <v>Yes</v>
      </c>
    </row>
    <row r="538" spans="3:10" x14ac:dyDescent="0.25">
      <c r="C538">
        <v>60906</v>
      </c>
      <c r="D538" t="str">
        <v>France</v>
      </c>
      <c r="E538" t="str">
        <v>Velo</v>
      </c>
      <c r="F538">
        <v>1033</v>
      </c>
      <c r="G538">
        <v>120.79</v>
      </c>
      <c r="H538">
        <v>138</v>
      </c>
      <c r="I538">
        <v>142554</v>
      </c>
      <c r="J538" t="str">
        <v>No</v>
      </c>
    </row>
    <row r="539" spans="3:10" x14ac:dyDescent="0.25">
      <c r="C539">
        <v>78263</v>
      </c>
      <c r="D539" t="str">
        <v>France</v>
      </c>
      <c r="E539" t="str">
        <v>Velo</v>
      </c>
      <c r="F539">
        <v>2177</v>
      </c>
      <c r="G539">
        <v>120.14</v>
      </c>
      <c r="H539">
        <v>176</v>
      </c>
      <c r="I539">
        <v>383152</v>
      </c>
      <c r="J539" t="str">
        <v>No</v>
      </c>
    </row>
    <row r="540" spans="3:10" x14ac:dyDescent="0.25">
      <c r="C540">
        <v>68950</v>
      </c>
      <c r="D540" t="str">
        <v>France</v>
      </c>
      <c r="E540" t="str">
        <v>Velo</v>
      </c>
      <c r="F540">
        <v>2826</v>
      </c>
      <c r="G540">
        <v>120.4</v>
      </c>
      <c r="H540">
        <v>164</v>
      </c>
      <c r="I540">
        <v>463464</v>
      </c>
      <c r="J540" t="str">
        <v>No</v>
      </c>
    </row>
    <row r="541" spans="3:10" x14ac:dyDescent="0.25">
      <c r="C541">
        <v>46336</v>
      </c>
      <c r="D541" t="str">
        <v>Ireland</v>
      </c>
      <c r="E541" t="str">
        <v>Velo</v>
      </c>
      <c r="F541">
        <v>2076</v>
      </c>
      <c r="G541">
        <v>120.41</v>
      </c>
      <c r="H541">
        <v>171</v>
      </c>
      <c r="I541">
        <v>354996</v>
      </c>
      <c r="J541" t="str">
        <v>No</v>
      </c>
    </row>
    <row r="542" spans="3:10" x14ac:dyDescent="0.25">
      <c r="C542">
        <v>76920</v>
      </c>
      <c r="D542" t="str">
        <v>Netherlands</v>
      </c>
      <c r="E542" t="str">
        <v>Velo</v>
      </c>
      <c r="F542">
        <v>3793</v>
      </c>
      <c r="G542">
        <v>120.22</v>
      </c>
      <c r="H542">
        <v>154</v>
      </c>
      <c r="I542">
        <v>584122</v>
      </c>
      <c r="J542" t="str">
        <v>No</v>
      </c>
    </row>
    <row r="543" spans="3:10" x14ac:dyDescent="0.25">
      <c r="C543">
        <v>68372</v>
      </c>
      <c r="D543" t="str">
        <v>France</v>
      </c>
      <c r="E543" t="str">
        <v>Velo</v>
      </c>
      <c r="F543">
        <v>1967</v>
      </c>
      <c r="G543">
        <v>120.14</v>
      </c>
      <c r="H543">
        <v>171</v>
      </c>
      <c r="I543">
        <v>336357</v>
      </c>
      <c r="J543" t="str">
        <v>No</v>
      </c>
    </row>
    <row r="544" spans="3:10" x14ac:dyDescent="0.25">
      <c r="C544">
        <v>82956</v>
      </c>
      <c r="D544" t="str">
        <v>Ireland</v>
      </c>
      <c r="E544" t="str">
        <v>Velo</v>
      </c>
      <c r="F544">
        <v>923</v>
      </c>
      <c r="G544">
        <v>120.58</v>
      </c>
      <c r="H544">
        <v>161</v>
      </c>
      <c r="I544">
        <v>148603</v>
      </c>
      <c r="J544" t="str">
        <v>No</v>
      </c>
    </row>
    <row r="545" spans="3:10" x14ac:dyDescent="0.25">
      <c r="C545">
        <v>33483</v>
      </c>
      <c r="D545" t="str">
        <v>Netherlands</v>
      </c>
      <c r="E545" t="str">
        <v>Velo</v>
      </c>
      <c r="F545">
        <v>3850</v>
      </c>
      <c r="G545">
        <v>120.47</v>
      </c>
      <c r="H545">
        <v>161</v>
      </c>
      <c r="I545">
        <v>619850</v>
      </c>
      <c r="J545" t="str">
        <v>No</v>
      </c>
    </row>
    <row r="546" spans="3:10" x14ac:dyDescent="0.25">
      <c r="C546">
        <v>11408</v>
      </c>
      <c r="D546" t="str">
        <v>Ireland</v>
      </c>
      <c r="E546" t="str">
        <v>Velo</v>
      </c>
      <c r="F546">
        <v>241</v>
      </c>
      <c r="G546">
        <v>120.53</v>
      </c>
      <c r="H546">
        <v>146</v>
      </c>
      <c r="I546">
        <v>35186</v>
      </c>
      <c r="J546" t="str">
        <v>Yes</v>
      </c>
    </row>
    <row r="547" spans="3:10" x14ac:dyDescent="0.25">
      <c r="C547">
        <v>31828</v>
      </c>
      <c r="D547" t="str">
        <v>Ireland</v>
      </c>
      <c r="E547" t="str">
        <v>Velo</v>
      </c>
      <c r="F547">
        <v>663</v>
      </c>
      <c r="G547">
        <v>120.29</v>
      </c>
      <c r="H547">
        <v>175</v>
      </c>
      <c r="I547">
        <v>116025</v>
      </c>
      <c r="J547" t="str">
        <v>Yes</v>
      </c>
    </row>
    <row r="548" spans="3:10" x14ac:dyDescent="0.25">
      <c r="C548">
        <v>52131</v>
      </c>
      <c r="D548" t="str">
        <v>Germany</v>
      </c>
      <c r="E548" t="str">
        <v>Velo</v>
      </c>
      <c r="F548">
        <v>1250</v>
      </c>
      <c r="G548">
        <v>120.26</v>
      </c>
      <c r="H548">
        <v>148</v>
      </c>
      <c r="I548">
        <v>185000</v>
      </c>
      <c r="J548" t="str">
        <v>Yes</v>
      </c>
    </row>
    <row r="549" spans="3:10" x14ac:dyDescent="0.25">
      <c r="C549">
        <v>77156</v>
      </c>
      <c r="D549" t="str">
        <v>Netherlands</v>
      </c>
      <c r="E549" t="str">
        <v>Velo</v>
      </c>
      <c r="F549">
        <v>598</v>
      </c>
      <c r="G549">
        <v>120.42</v>
      </c>
      <c r="H549">
        <v>165</v>
      </c>
      <c r="I549">
        <v>98670</v>
      </c>
      <c r="J549" t="str">
        <v>No</v>
      </c>
    </row>
    <row r="550" spans="3:10" x14ac:dyDescent="0.25">
      <c r="C550">
        <v>68821</v>
      </c>
      <c r="D550" t="str">
        <v>Ireland</v>
      </c>
      <c r="E550" t="str">
        <v>Velo</v>
      </c>
      <c r="F550">
        <v>2755</v>
      </c>
      <c r="G550">
        <v>120.61</v>
      </c>
      <c r="H550">
        <v>152</v>
      </c>
      <c r="I550">
        <v>418760</v>
      </c>
      <c r="J550" t="str">
        <v>Yes</v>
      </c>
    </row>
    <row r="551" spans="3:10" x14ac:dyDescent="0.25">
      <c r="C551">
        <v>85014</v>
      </c>
      <c r="D551" t="str">
        <v>France</v>
      </c>
      <c r="E551" t="str">
        <v>Velo</v>
      </c>
      <c r="F551">
        <v>704</v>
      </c>
      <c r="G551">
        <v>120.67</v>
      </c>
      <c r="H551">
        <v>155</v>
      </c>
      <c r="I551">
        <v>109120</v>
      </c>
      <c r="J551" t="str">
        <v>No</v>
      </c>
    </row>
    <row r="552" spans="3:10" x14ac:dyDescent="0.25">
      <c r="C552">
        <v>22745</v>
      </c>
      <c r="D552" t="str">
        <v>Netherlands</v>
      </c>
      <c r="E552" t="str">
        <v>Velo</v>
      </c>
      <c r="F552">
        <v>345</v>
      </c>
      <c r="G552">
        <v>120.51</v>
      </c>
      <c r="H552">
        <v>175</v>
      </c>
      <c r="I552">
        <v>60375</v>
      </c>
      <c r="J552" t="str">
        <v>Yes</v>
      </c>
    </row>
    <row r="553" spans="3:10" x14ac:dyDescent="0.25">
      <c r="C553">
        <v>87028</v>
      </c>
      <c r="D553" t="str">
        <v>Ireland</v>
      </c>
      <c r="E553" t="str">
        <v>Velo</v>
      </c>
      <c r="F553">
        <v>2338</v>
      </c>
      <c r="G553">
        <v>120.52</v>
      </c>
      <c r="H553">
        <v>175</v>
      </c>
      <c r="I553">
        <v>409150</v>
      </c>
      <c r="J553" t="str">
        <v>No</v>
      </c>
    </row>
    <row r="554" spans="3:10" x14ac:dyDescent="0.25">
      <c r="C554">
        <v>93193</v>
      </c>
      <c r="D554" t="str">
        <v>France</v>
      </c>
      <c r="E554" t="str">
        <v>Velo</v>
      </c>
      <c r="F554">
        <v>1190</v>
      </c>
      <c r="G554">
        <v>120.17</v>
      </c>
      <c r="H554">
        <v>125</v>
      </c>
      <c r="I554">
        <v>148750</v>
      </c>
      <c r="J554" t="str">
        <v>No</v>
      </c>
    </row>
    <row r="555" spans="3:10" x14ac:dyDescent="0.25">
      <c r="C555">
        <v>29583</v>
      </c>
      <c r="D555" t="str">
        <v>Netherlands</v>
      </c>
      <c r="E555" t="str">
        <v>Velo</v>
      </c>
      <c r="F555">
        <v>269</v>
      </c>
      <c r="G555">
        <v>120.3</v>
      </c>
      <c r="H555">
        <v>138</v>
      </c>
      <c r="I555">
        <v>37122</v>
      </c>
      <c r="J555" t="str">
        <v>No</v>
      </c>
    </row>
    <row r="556" spans="3:10" x14ac:dyDescent="0.25">
      <c r="C556">
        <v>96220</v>
      </c>
      <c r="D556" t="str">
        <v>Italy</v>
      </c>
      <c r="E556" t="str">
        <v>Velo</v>
      </c>
      <c r="F556">
        <v>736</v>
      </c>
      <c r="G556">
        <v>120.31</v>
      </c>
      <c r="H556">
        <v>147</v>
      </c>
      <c r="I556">
        <v>108192</v>
      </c>
      <c r="J556" t="str">
        <v>Yes</v>
      </c>
    </row>
    <row r="557" spans="3:10" x14ac:dyDescent="0.25">
      <c r="C557">
        <v>93961</v>
      </c>
      <c r="D557" t="str">
        <v>Spain</v>
      </c>
      <c r="E557" t="str">
        <v>Velo</v>
      </c>
      <c r="F557">
        <v>544</v>
      </c>
      <c r="G557">
        <v>120.83</v>
      </c>
      <c r="H557">
        <v>129</v>
      </c>
      <c r="I557">
        <v>70176</v>
      </c>
      <c r="J557" t="str">
        <v>No</v>
      </c>
    </row>
    <row r="558" spans="3:10" x14ac:dyDescent="0.25">
      <c r="C558">
        <v>46626</v>
      </c>
      <c r="D558" t="str">
        <v>Spain</v>
      </c>
      <c r="E558" t="str">
        <v>Velo</v>
      </c>
      <c r="F558">
        <v>362</v>
      </c>
      <c r="G558">
        <v>120.18</v>
      </c>
      <c r="H558">
        <v>142</v>
      </c>
      <c r="I558">
        <v>51404</v>
      </c>
      <c r="J558" t="str">
        <v>Yes</v>
      </c>
    </row>
    <row r="559" spans="3:10" x14ac:dyDescent="0.25">
      <c r="C559">
        <v>27517</v>
      </c>
      <c r="D559" t="str">
        <v>Italy</v>
      </c>
      <c r="E559" t="str">
        <v>Velo</v>
      </c>
      <c r="F559">
        <v>2438</v>
      </c>
      <c r="G559">
        <v>120.51</v>
      </c>
      <c r="H559">
        <v>155</v>
      </c>
      <c r="I559">
        <v>377890</v>
      </c>
      <c r="J559" t="str">
        <v>No</v>
      </c>
    </row>
    <row r="560" spans="3:10" x14ac:dyDescent="0.25">
      <c r="C560">
        <v>57507</v>
      </c>
      <c r="D560" t="str">
        <v>Netherlands</v>
      </c>
      <c r="E560" t="str">
        <v>Velo</v>
      </c>
      <c r="F560">
        <v>1269</v>
      </c>
      <c r="G560">
        <v>121</v>
      </c>
      <c r="H560">
        <v>166</v>
      </c>
      <c r="I560">
        <v>210654</v>
      </c>
      <c r="J560" t="str">
        <v>No</v>
      </c>
    </row>
    <row r="561" spans="3:10" x14ac:dyDescent="0.25">
      <c r="C561">
        <v>28893</v>
      </c>
      <c r="D561" t="str">
        <v>France</v>
      </c>
      <c r="E561" t="str">
        <v>Velo</v>
      </c>
      <c r="F561">
        <v>3864</v>
      </c>
      <c r="G561">
        <v>120.29</v>
      </c>
      <c r="H561">
        <v>153</v>
      </c>
      <c r="I561">
        <v>591192</v>
      </c>
      <c r="J561" t="str">
        <v>Yes</v>
      </c>
    </row>
    <row r="562" spans="3:10" x14ac:dyDescent="0.25">
      <c r="C562">
        <v>72365</v>
      </c>
      <c r="D562" t="str">
        <v>France</v>
      </c>
      <c r="E562" t="str">
        <v>Velo</v>
      </c>
      <c r="F562">
        <v>1804</v>
      </c>
      <c r="G562">
        <v>120.71</v>
      </c>
      <c r="H562">
        <v>171</v>
      </c>
      <c r="I562">
        <v>308484</v>
      </c>
      <c r="J562" t="str">
        <v>No</v>
      </c>
    </row>
    <row r="563" spans="3:10" x14ac:dyDescent="0.25">
      <c r="C563">
        <v>38910</v>
      </c>
      <c r="D563" t="str">
        <v>Germany</v>
      </c>
      <c r="E563" t="str">
        <v>Velo</v>
      </c>
      <c r="F563">
        <v>660</v>
      </c>
      <c r="G563">
        <v>120.19</v>
      </c>
      <c r="H563">
        <v>133</v>
      </c>
      <c r="I563">
        <v>87780</v>
      </c>
      <c r="J563" t="str">
        <v>Yes</v>
      </c>
    </row>
    <row r="564" spans="3:10" x14ac:dyDescent="0.25">
      <c r="C564">
        <v>45905</v>
      </c>
      <c r="D564" t="str">
        <v>Germany</v>
      </c>
      <c r="E564" t="str">
        <v>Velo</v>
      </c>
      <c r="F564">
        <v>1006</v>
      </c>
      <c r="G564">
        <v>120.49</v>
      </c>
      <c r="H564">
        <v>170</v>
      </c>
      <c r="I564">
        <v>171020</v>
      </c>
      <c r="J564" t="str">
        <v>No</v>
      </c>
    </row>
    <row r="565" spans="3:10" x14ac:dyDescent="0.25">
      <c r="C565">
        <v>78717</v>
      </c>
      <c r="D565" t="str">
        <v>Italy</v>
      </c>
      <c r="E565" t="str">
        <v>Velo</v>
      </c>
      <c r="F565">
        <v>1596</v>
      </c>
      <c r="G565">
        <v>120.89</v>
      </c>
      <c r="H565">
        <v>140</v>
      </c>
      <c r="I565">
        <v>223440</v>
      </c>
      <c r="J565" t="str">
        <v>Yes</v>
      </c>
    </row>
    <row r="566" spans="3:10" x14ac:dyDescent="0.25">
      <c r="C566">
        <v>69609</v>
      </c>
      <c r="D566" t="str">
        <v>Germany</v>
      </c>
      <c r="E566" t="str">
        <v>Velo</v>
      </c>
      <c r="F566">
        <v>1395</v>
      </c>
      <c r="G566">
        <v>120.18</v>
      </c>
      <c r="H566">
        <v>145</v>
      </c>
      <c r="I566">
        <v>202275</v>
      </c>
      <c r="J566" t="str">
        <v>Yes</v>
      </c>
    </row>
    <row r="567" spans="3:10" x14ac:dyDescent="0.25">
      <c r="C567">
        <v>17182</v>
      </c>
      <c r="D567" t="str">
        <v>Germany</v>
      </c>
      <c r="E567" t="str">
        <v>Velo</v>
      </c>
      <c r="F567">
        <v>807</v>
      </c>
      <c r="G567">
        <v>120.77</v>
      </c>
      <c r="H567">
        <v>142</v>
      </c>
      <c r="I567">
        <v>114594</v>
      </c>
      <c r="J567" t="str">
        <v>Yes</v>
      </c>
    </row>
    <row r="568" spans="3:10" x14ac:dyDescent="0.25">
      <c r="C568">
        <v>96788</v>
      </c>
      <c r="D568" t="str">
        <v>France</v>
      </c>
      <c r="E568" t="str">
        <v>Velo</v>
      </c>
      <c r="F568">
        <v>386</v>
      </c>
      <c r="G568">
        <v>120.64</v>
      </c>
      <c r="H568">
        <v>172</v>
      </c>
      <c r="I568">
        <v>66392</v>
      </c>
      <c r="J568" t="str">
        <v>No</v>
      </c>
    </row>
    <row r="569" spans="3:10" x14ac:dyDescent="0.25">
      <c r="C569">
        <v>97139</v>
      </c>
      <c r="D569" t="str">
        <v>Italy</v>
      </c>
      <c r="E569" t="str">
        <v>Velo</v>
      </c>
      <c r="F569">
        <v>1372</v>
      </c>
      <c r="G569">
        <v>120.58</v>
      </c>
      <c r="H569">
        <v>168</v>
      </c>
      <c r="I569">
        <v>230496</v>
      </c>
      <c r="J569" t="str">
        <v>Yes</v>
      </c>
    </row>
    <row r="570" spans="3:10" x14ac:dyDescent="0.25">
      <c r="C570">
        <v>50027</v>
      </c>
      <c r="D570" t="str">
        <v>Italy</v>
      </c>
      <c r="E570" t="str">
        <v>Velo</v>
      </c>
      <c r="F570">
        <v>555</v>
      </c>
      <c r="G570">
        <v>120.81</v>
      </c>
      <c r="H570">
        <v>144</v>
      </c>
      <c r="I570">
        <v>79920</v>
      </c>
      <c r="J570" t="str">
        <v>No</v>
      </c>
    </row>
    <row r="571" spans="3:10" x14ac:dyDescent="0.25">
      <c r="C571">
        <v>78184</v>
      </c>
      <c r="D571" t="str">
        <v>France</v>
      </c>
      <c r="E571" t="str">
        <v>Velo</v>
      </c>
      <c r="F571">
        <v>1221</v>
      </c>
      <c r="G571">
        <v>120.5</v>
      </c>
      <c r="H571">
        <v>156</v>
      </c>
      <c r="I571">
        <v>190476</v>
      </c>
      <c r="J571" t="str">
        <v>Yes</v>
      </c>
    </row>
    <row r="572" spans="3:10" x14ac:dyDescent="0.25">
      <c r="C572">
        <v>29801</v>
      </c>
      <c r="D572" t="str">
        <v>Spain</v>
      </c>
      <c r="E572" t="str">
        <v>Velo</v>
      </c>
      <c r="F572">
        <v>344</v>
      </c>
      <c r="G572">
        <v>120.49</v>
      </c>
      <c r="H572">
        <v>176</v>
      </c>
      <c r="I572">
        <v>60544</v>
      </c>
      <c r="J572" t="str">
        <v>Yes</v>
      </c>
    </row>
    <row r="573" spans="3:10" x14ac:dyDescent="0.25">
      <c r="C573">
        <v>96239</v>
      </c>
      <c r="D573" t="str">
        <v>Spain</v>
      </c>
      <c r="E573" t="str">
        <v>Velo</v>
      </c>
      <c r="F573">
        <v>1575</v>
      </c>
      <c r="G573">
        <v>120.43</v>
      </c>
      <c r="H573">
        <v>164</v>
      </c>
      <c r="I573">
        <v>258300</v>
      </c>
      <c r="J573" t="str">
        <v>No</v>
      </c>
    </row>
    <row r="574" spans="3:10" x14ac:dyDescent="0.25">
      <c r="C574">
        <v>89468</v>
      </c>
      <c r="D574" t="str">
        <v>Italy</v>
      </c>
      <c r="E574" t="str">
        <v>Velo</v>
      </c>
      <c r="F574">
        <v>602</v>
      </c>
      <c r="G574">
        <v>120.85</v>
      </c>
      <c r="H574">
        <v>176</v>
      </c>
      <c r="I574">
        <v>105952</v>
      </c>
      <c r="J574" t="str">
        <v>Yes</v>
      </c>
    </row>
    <row r="575" spans="3:10" x14ac:dyDescent="0.25">
      <c r="C575">
        <v>63881</v>
      </c>
      <c r="D575" t="str">
        <v>France</v>
      </c>
      <c r="E575" t="str">
        <v>Velo</v>
      </c>
      <c r="F575">
        <v>663</v>
      </c>
      <c r="G575">
        <v>120.13</v>
      </c>
      <c r="H575">
        <v>181</v>
      </c>
      <c r="I575">
        <v>120003</v>
      </c>
      <c r="J575" t="str">
        <v>Yes</v>
      </c>
    </row>
    <row r="576" spans="3:10" x14ac:dyDescent="0.25">
      <c r="C576">
        <v>51607</v>
      </c>
      <c r="D576" t="str">
        <v>Spain</v>
      </c>
      <c r="E576" t="str">
        <v>Velo</v>
      </c>
      <c r="F576">
        <v>410</v>
      </c>
      <c r="G576">
        <v>120.2</v>
      </c>
      <c r="H576">
        <v>146</v>
      </c>
      <c r="I576">
        <v>59860</v>
      </c>
      <c r="J576" t="str">
        <v>Yes</v>
      </c>
    </row>
    <row r="577" spans="3:10" x14ac:dyDescent="0.25">
      <c r="C577">
        <v>60931</v>
      </c>
      <c r="D577" t="str">
        <v>Netherlands</v>
      </c>
      <c r="E577" t="str">
        <v>Velo</v>
      </c>
      <c r="F577">
        <v>1808</v>
      </c>
      <c r="G577">
        <v>120.82</v>
      </c>
      <c r="H577">
        <v>176</v>
      </c>
      <c r="I577">
        <v>318208</v>
      </c>
      <c r="J577" t="str">
        <v>No</v>
      </c>
    </row>
    <row r="578" spans="3:10" x14ac:dyDescent="0.25">
      <c r="C578">
        <v>99081</v>
      </c>
      <c r="D578" t="str">
        <v>Germany</v>
      </c>
      <c r="E578" t="str">
        <v>Velo</v>
      </c>
      <c r="F578">
        <v>1530</v>
      </c>
      <c r="G578">
        <v>120.55</v>
      </c>
      <c r="H578">
        <v>157</v>
      </c>
      <c r="I578">
        <v>240210</v>
      </c>
      <c r="J578" t="str">
        <v>No</v>
      </c>
    </row>
    <row r="579" spans="3:10" x14ac:dyDescent="0.25">
      <c r="C579">
        <v>63021</v>
      </c>
      <c r="D579" t="str">
        <v>Germany</v>
      </c>
      <c r="E579" t="str">
        <v>Velo</v>
      </c>
      <c r="F579">
        <v>2161</v>
      </c>
      <c r="G579">
        <v>120.14</v>
      </c>
      <c r="H579">
        <v>159</v>
      </c>
      <c r="I579">
        <v>343599</v>
      </c>
      <c r="J579" t="str">
        <v>No</v>
      </c>
    </row>
    <row r="580" spans="3:10" x14ac:dyDescent="0.25">
      <c r="C580">
        <v>45002</v>
      </c>
      <c r="D580" t="str">
        <v>Ireland</v>
      </c>
      <c r="E580" t="str">
        <v>Velo</v>
      </c>
      <c r="F580">
        <v>1579</v>
      </c>
      <c r="G580">
        <v>120.95</v>
      </c>
      <c r="H580">
        <v>148</v>
      </c>
      <c r="I580">
        <v>233692</v>
      </c>
      <c r="J580" t="str">
        <v>No</v>
      </c>
    </row>
    <row r="581" spans="3:10" x14ac:dyDescent="0.25">
      <c r="C581">
        <v>58190</v>
      </c>
      <c r="D581" t="str">
        <v>Germany</v>
      </c>
      <c r="E581" t="str">
        <v>Velo</v>
      </c>
      <c r="F581">
        <v>1001</v>
      </c>
      <c r="G581">
        <v>120.96</v>
      </c>
      <c r="H581">
        <v>142</v>
      </c>
      <c r="I581">
        <v>142142</v>
      </c>
      <c r="J581" t="str">
        <v>Yes</v>
      </c>
    </row>
    <row r="582" spans="3:10" x14ac:dyDescent="0.25">
      <c r="C582">
        <v>38625</v>
      </c>
      <c r="D582" t="str">
        <v>Germany</v>
      </c>
      <c r="E582" t="str">
        <v>Velo</v>
      </c>
      <c r="F582">
        <v>2087</v>
      </c>
      <c r="G582">
        <v>120.47</v>
      </c>
      <c r="H582">
        <v>147</v>
      </c>
      <c r="I582">
        <v>306789</v>
      </c>
      <c r="J582" t="str">
        <v>No</v>
      </c>
    </row>
    <row r="583" spans="3:10" x14ac:dyDescent="0.25">
      <c r="C583">
        <v>66218</v>
      </c>
      <c r="D583" t="str">
        <v>Spain</v>
      </c>
      <c r="E583" t="str">
        <v>Velo</v>
      </c>
      <c r="F583">
        <v>1084</v>
      </c>
      <c r="G583">
        <v>120.44</v>
      </c>
      <c r="H583">
        <v>131</v>
      </c>
      <c r="I583">
        <v>142004</v>
      </c>
      <c r="J583" t="str">
        <v>Yes</v>
      </c>
    </row>
    <row r="584" spans="3:10" x14ac:dyDescent="0.25">
      <c r="C584">
        <v>98999</v>
      </c>
      <c r="D584" t="str">
        <v>France</v>
      </c>
      <c r="E584" t="str">
        <v>Velo</v>
      </c>
      <c r="F584">
        <v>1055</v>
      </c>
      <c r="G584">
        <v>120.96</v>
      </c>
      <c r="H584">
        <v>141</v>
      </c>
      <c r="I584">
        <v>148755</v>
      </c>
      <c r="J584" t="str">
        <v>No</v>
      </c>
    </row>
    <row r="585" spans="3:10" x14ac:dyDescent="0.25">
      <c r="C585">
        <v>47162</v>
      </c>
      <c r="D585" t="str">
        <v>France</v>
      </c>
      <c r="E585" t="str">
        <v>Velo</v>
      </c>
      <c r="F585">
        <v>1496</v>
      </c>
      <c r="G585">
        <v>120.96</v>
      </c>
      <c r="H585">
        <v>160</v>
      </c>
      <c r="I585">
        <v>239360</v>
      </c>
      <c r="J585" t="str">
        <v>Yes</v>
      </c>
    </row>
    <row r="586" spans="3:10" x14ac:dyDescent="0.25">
      <c r="C586">
        <v>39060</v>
      </c>
      <c r="D586" t="str">
        <v>Netherlands</v>
      </c>
      <c r="E586" t="str">
        <v>Velo</v>
      </c>
      <c r="F586">
        <v>2092</v>
      </c>
      <c r="G586">
        <v>120.25</v>
      </c>
      <c r="H586">
        <v>123</v>
      </c>
      <c r="I586">
        <v>257316</v>
      </c>
      <c r="J586" t="str">
        <v>Yes</v>
      </c>
    </row>
    <row r="587" spans="3:10" x14ac:dyDescent="0.25">
      <c r="C587">
        <v>75216</v>
      </c>
      <c r="D587" t="str">
        <v>Italy</v>
      </c>
      <c r="E587" t="str">
        <v>Velo</v>
      </c>
      <c r="F587">
        <v>986</v>
      </c>
      <c r="G587">
        <v>120.04</v>
      </c>
      <c r="H587">
        <v>127</v>
      </c>
      <c r="I587">
        <v>125222</v>
      </c>
      <c r="J587" t="str">
        <v>Yes</v>
      </c>
    </row>
    <row r="588" spans="3:10" x14ac:dyDescent="0.25">
      <c r="C588">
        <v>98911</v>
      </c>
      <c r="D588" t="str">
        <v>Netherlands</v>
      </c>
      <c r="E588" t="str">
        <v>Velo</v>
      </c>
      <c r="F588">
        <v>952</v>
      </c>
      <c r="G588">
        <v>120.59</v>
      </c>
      <c r="H588">
        <v>133</v>
      </c>
      <c r="I588">
        <v>126616</v>
      </c>
      <c r="J588" t="str">
        <v>No</v>
      </c>
    </row>
    <row r="589" spans="3:10" x14ac:dyDescent="0.25">
      <c r="C589">
        <v>36340</v>
      </c>
      <c r="D589" t="str">
        <v>Netherlands</v>
      </c>
      <c r="E589" t="str">
        <v>Velo</v>
      </c>
      <c r="F589">
        <v>2009</v>
      </c>
      <c r="G589">
        <v>120.92</v>
      </c>
      <c r="H589">
        <v>175</v>
      </c>
      <c r="I589">
        <v>351575</v>
      </c>
      <c r="J589" t="str">
        <v>Yes</v>
      </c>
    </row>
    <row r="590" spans="3:10" x14ac:dyDescent="0.25">
      <c r="C590">
        <v>21634</v>
      </c>
      <c r="D590" t="str">
        <v>Ireland</v>
      </c>
      <c r="E590" t="str">
        <v>Velo</v>
      </c>
      <c r="F590">
        <v>2665</v>
      </c>
      <c r="G590">
        <v>120.2</v>
      </c>
      <c r="H590">
        <v>127</v>
      </c>
      <c r="I590">
        <v>338455</v>
      </c>
      <c r="J590" t="str">
        <v>Yes</v>
      </c>
    </row>
    <row r="591" spans="3:10" x14ac:dyDescent="0.25">
      <c r="C591">
        <v>58488</v>
      </c>
      <c r="D591" t="str">
        <v>Spain</v>
      </c>
      <c r="E591" t="str">
        <v>Velo</v>
      </c>
      <c r="F591">
        <v>2605</v>
      </c>
      <c r="G591">
        <v>120.29</v>
      </c>
      <c r="H591">
        <v>164</v>
      </c>
      <c r="I591">
        <v>427220</v>
      </c>
      <c r="J591" t="str">
        <v>Yes</v>
      </c>
    </row>
    <row r="592" spans="3:10" x14ac:dyDescent="0.25">
      <c r="C592">
        <v>71414</v>
      </c>
      <c r="D592" t="str">
        <v>France</v>
      </c>
      <c r="E592" t="str">
        <v>Velo</v>
      </c>
      <c r="F592">
        <v>2805</v>
      </c>
      <c r="G592">
        <v>120.89</v>
      </c>
      <c r="H592">
        <v>173</v>
      </c>
      <c r="I592">
        <v>485265</v>
      </c>
      <c r="J592" t="str">
        <v>No</v>
      </c>
    </row>
    <row r="593" spans="3:10" x14ac:dyDescent="0.25">
      <c r="C593">
        <v>53988</v>
      </c>
      <c r="D593" t="str">
        <v>Germany</v>
      </c>
      <c r="E593" t="str">
        <v>Velo</v>
      </c>
      <c r="F593">
        <v>2536</v>
      </c>
      <c r="G593">
        <v>120.51</v>
      </c>
      <c r="H593">
        <v>178</v>
      </c>
      <c r="I593">
        <v>451408</v>
      </c>
      <c r="J593" t="str">
        <v>No</v>
      </c>
    </row>
    <row r="594" spans="3:10" x14ac:dyDescent="0.25">
      <c r="C594">
        <v>34559</v>
      </c>
      <c r="D594" t="str">
        <v>Spain</v>
      </c>
      <c r="E594" t="str">
        <v>Velo</v>
      </c>
      <c r="F594">
        <v>609</v>
      </c>
      <c r="G594">
        <v>120.72</v>
      </c>
      <c r="H594">
        <v>136</v>
      </c>
      <c r="I594">
        <v>82824</v>
      </c>
      <c r="J594" t="str">
        <v>Yes</v>
      </c>
    </row>
    <row r="595" spans="3:10" x14ac:dyDescent="0.25">
      <c r="C595">
        <v>86228</v>
      </c>
      <c r="D595" t="str">
        <v>France</v>
      </c>
      <c r="E595" t="str">
        <v>Velo</v>
      </c>
      <c r="F595">
        <v>604</v>
      </c>
      <c r="G595">
        <v>120.21</v>
      </c>
      <c r="H595">
        <v>165</v>
      </c>
      <c r="I595">
        <v>99660</v>
      </c>
      <c r="J595" t="str">
        <v>Yes</v>
      </c>
    </row>
    <row r="596" spans="3:10" x14ac:dyDescent="0.25">
      <c r="C596">
        <v>67207</v>
      </c>
      <c r="D596" t="str">
        <v>Belgium</v>
      </c>
      <c r="E596" t="str">
        <v>VTT</v>
      </c>
      <c r="F596">
        <v>574</v>
      </c>
      <c r="G596">
        <v>250.26</v>
      </c>
      <c r="H596">
        <v>278</v>
      </c>
      <c r="I596">
        <v>159572</v>
      </c>
      <c r="J596" t="str">
        <v>No</v>
      </c>
    </row>
    <row r="597" spans="3:10" x14ac:dyDescent="0.25">
      <c r="C597">
        <v>68622</v>
      </c>
      <c r="D597" t="str">
        <v>Netherlands</v>
      </c>
      <c r="E597" t="str">
        <v>VTT</v>
      </c>
      <c r="F597">
        <v>280</v>
      </c>
      <c r="G597">
        <v>250.33</v>
      </c>
      <c r="H597">
        <v>368</v>
      </c>
      <c r="I597">
        <v>103040</v>
      </c>
      <c r="J597" t="str">
        <v>Yes</v>
      </c>
    </row>
    <row r="598" spans="3:10" x14ac:dyDescent="0.25">
      <c r="C598">
        <v>59600</v>
      </c>
      <c r="D598" t="str">
        <v>Netherlands</v>
      </c>
      <c r="E598" t="str">
        <v>VTT</v>
      </c>
      <c r="F598">
        <v>1496</v>
      </c>
      <c r="G598">
        <v>250.49</v>
      </c>
      <c r="H598">
        <v>296</v>
      </c>
      <c r="I598">
        <v>442816</v>
      </c>
      <c r="J598" t="str">
        <v>Yes</v>
      </c>
    </row>
    <row r="599" spans="3:10" x14ac:dyDescent="0.25">
      <c r="C599">
        <v>95829</v>
      </c>
      <c r="D599" t="str">
        <v>Germany</v>
      </c>
      <c r="E599" t="str">
        <v>VTT</v>
      </c>
      <c r="F599">
        <v>2297</v>
      </c>
      <c r="G599">
        <v>250.3</v>
      </c>
      <c r="H599">
        <v>308</v>
      </c>
      <c r="I599">
        <v>707476</v>
      </c>
      <c r="J599" t="str">
        <v>Yes</v>
      </c>
    </row>
    <row r="600" spans="3:10" x14ac:dyDescent="0.25">
      <c r="C600">
        <v>96568</v>
      </c>
      <c r="D600" t="str">
        <v>Netherlands</v>
      </c>
      <c r="E600" t="str">
        <v>VTT</v>
      </c>
      <c r="F600">
        <v>1874</v>
      </c>
      <c r="G600">
        <v>250.84</v>
      </c>
      <c r="H600">
        <v>319</v>
      </c>
      <c r="I600">
        <v>597806</v>
      </c>
      <c r="J600" t="str">
        <v>Yes</v>
      </c>
    </row>
    <row r="601" spans="3:10" x14ac:dyDescent="0.25">
      <c r="C601">
        <v>31826</v>
      </c>
      <c r="D601" t="str">
        <v>Ireland</v>
      </c>
      <c r="E601" t="str">
        <v>VTT</v>
      </c>
      <c r="F601">
        <v>986</v>
      </c>
      <c r="G601">
        <v>250.3</v>
      </c>
      <c r="H601">
        <v>353</v>
      </c>
      <c r="I601">
        <v>348058</v>
      </c>
      <c r="J601" t="str">
        <v>Yes</v>
      </c>
    </row>
    <row r="602" spans="3:10" x14ac:dyDescent="0.25">
      <c r="C602">
        <v>82882</v>
      </c>
      <c r="D602" t="str">
        <v>Netherlands</v>
      </c>
      <c r="E602" t="str">
        <v>VTT</v>
      </c>
      <c r="F602">
        <v>1583</v>
      </c>
      <c r="G602">
        <v>250.72</v>
      </c>
      <c r="H602">
        <v>299</v>
      </c>
      <c r="I602">
        <v>473317</v>
      </c>
      <c r="J602" t="str">
        <v>No</v>
      </c>
    </row>
    <row r="603" spans="3:10" x14ac:dyDescent="0.25">
      <c r="C603">
        <v>57775</v>
      </c>
      <c r="D603" t="str">
        <v>Netherlands</v>
      </c>
      <c r="E603" t="str">
        <v>VTT</v>
      </c>
      <c r="F603">
        <v>1565</v>
      </c>
      <c r="G603">
        <v>250.09</v>
      </c>
      <c r="H603">
        <v>346</v>
      </c>
      <c r="I603">
        <v>541490</v>
      </c>
      <c r="J603" t="str">
        <v>Yes</v>
      </c>
    </row>
    <row r="604" spans="3:10" x14ac:dyDescent="0.25">
      <c r="C604">
        <v>48315</v>
      </c>
      <c r="D604" t="str">
        <v>France</v>
      </c>
      <c r="E604" t="str">
        <v>VTT</v>
      </c>
      <c r="F604">
        <v>1738</v>
      </c>
      <c r="G604">
        <v>250.11</v>
      </c>
      <c r="H604">
        <v>366</v>
      </c>
      <c r="I604">
        <v>636108</v>
      </c>
      <c r="J604" t="str">
        <v>Yes</v>
      </c>
    </row>
    <row r="605" spans="3:10" x14ac:dyDescent="0.25">
      <c r="C605">
        <v>33125</v>
      </c>
      <c r="D605" t="str">
        <v>Netherlands</v>
      </c>
      <c r="E605" t="str">
        <v>VTT</v>
      </c>
      <c r="F605">
        <v>1817</v>
      </c>
      <c r="G605">
        <v>250.97</v>
      </c>
      <c r="H605">
        <v>357</v>
      </c>
      <c r="I605">
        <v>648669</v>
      </c>
      <c r="J605" t="str">
        <v>Yes</v>
      </c>
    </row>
    <row r="606" spans="3:10" x14ac:dyDescent="0.25">
      <c r="C606">
        <v>39945</v>
      </c>
      <c r="D606" t="str">
        <v>France</v>
      </c>
      <c r="E606" t="str">
        <v>VTT</v>
      </c>
      <c r="F606">
        <v>3874</v>
      </c>
      <c r="G606">
        <v>250.22</v>
      </c>
      <c r="H606">
        <v>366</v>
      </c>
      <c r="I606">
        <v>1417884</v>
      </c>
      <c r="J606" t="str">
        <v>Yes</v>
      </c>
    </row>
    <row r="607" spans="3:10" x14ac:dyDescent="0.25">
      <c r="C607">
        <v>92668</v>
      </c>
      <c r="D607" t="str">
        <v>Italy</v>
      </c>
      <c r="E607" t="str">
        <v>VTT</v>
      </c>
      <c r="F607">
        <v>1579</v>
      </c>
      <c r="G607">
        <v>250.54</v>
      </c>
      <c r="H607">
        <v>284</v>
      </c>
      <c r="I607">
        <v>448436</v>
      </c>
      <c r="J607" t="str">
        <v>No</v>
      </c>
    </row>
    <row r="608" spans="3:10" x14ac:dyDescent="0.25">
      <c r="C608">
        <v>94315</v>
      </c>
      <c r="D608" t="str">
        <v>Spain</v>
      </c>
      <c r="E608" t="str">
        <v>VTT</v>
      </c>
      <c r="F608">
        <v>1916</v>
      </c>
      <c r="G608">
        <v>250.26</v>
      </c>
      <c r="H608">
        <v>286</v>
      </c>
      <c r="I608">
        <v>547976</v>
      </c>
      <c r="J608" t="str">
        <v>No</v>
      </c>
    </row>
    <row r="609" spans="3:10" x14ac:dyDescent="0.25">
      <c r="C609">
        <v>50547</v>
      </c>
      <c r="D609" t="str">
        <v>Italy</v>
      </c>
      <c r="E609" t="str">
        <v>VTT</v>
      </c>
      <c r="F609">
        <v>349</v>
      </c>
      <c r="G609">
        <v>250.26</v>
      </c>
      <c r="H609">
        <v>266</v>
      </c>
      <c r="I609">
        <v>92834</v>
      </c>
      <c r="J609" t="str">
        <v>Yes</v>
      </c>
    </row>
    <row r="610" spans="3:10" x14ac:dyDescent="0.25">
      <c r="C610">
        <v>56714</v>
      </c>
      <c r="D610" t="str">
        <v>Netherlands</v>
      </c>
      <c r="E610" t="str">
        <v>VTT</v>
      </c>
      <c r="F610">
        <v>943</v>
      </c>
      <c r="G610">
        <v>250.61</v>
      </c>
      <c r="H610">
        <v>261</v>
      </c>
      <c r="I610">
        <v>246123</v>
      </c>
      <c r="J610" t="str">
        <v>Yes</v>
      </c>
    </row>
    <row r="611" spans="3:10" x14ac:dyDescent="0.25">
      <c r="C611">
        <v>37971</v>
      </c>
      <c r="D611" t="str">
        <v>Germany</v>
      </c>
      <c r="E611" t="str">
        <v>VTT</v>
      </c>
      <c r="F611">
        <v>2338</v>
      </c>
      <c r="G611">
        <v>250.47</v>
      </c>
      <c r="H611">
        <v>276</v>
      </c>
      <c r="I611">
        <v>645288</v>
      </c>
      <c r="J611" t="str">
        <v>No</v>
      </c>
    </row>
    <row r="612" spans="3:10" x14ac:dyDescent="0.25">
      <c r="C612">
        <v>31955</v>
      </c>
      <c r="D612" t="str">
        <v>France</v>
      </c>
      <c r="E612" t="str">
        <v>VTT</v>
      </c>
      <c r="F612">
        <v>2178</v>
      </c>
      <c r="G612">
        <v>250.61</v>
      </c>
      <c r="H612">
        <v>311</v>
      </c>
      <c r="I612">
        <v>677358</v>
      </c>
      <c r="J612" t="str">
        <v>No</v>
      </c>
    </row>
    <row r="613" spans="3:10" x14ac:dyDescent="0.25">
      <c r="C613">
        <v>77990</v>
      </c>
      <c r="D613" t="str">
        <v>France</v>
      </c>
      <c r="E613" t="str">
        <v>VTT</v>
      </c>
      <c r="F613">
        <v>2234</v>
      </c>
      <c r="G613">
        <v>250.26</v>
      </c>
      <c r="H613">
        <v>313</v>
      </c>
      <c r="I613">
        <v>699242</v>
      </c>
      <c r="J613" t="str">
        <v>No</v>
      </c>
    </row>
    <row r="614" spans="3:10" x14ac:dyDescent="0.25">
      <c r="C614">
        <v>93505</v>
      </c>
      <c r="D614" t="str">
        <v>France</v>
      </c>
      <c r="E614" t="str">
        <v>VTT</v>
      </c>
      <c r="F614">
        <v>1734</v>
      </c>
      <c r="G614">
        <v>250.83</v>
      </c>
      <c r="H614">
        <v>279</v>
      </c>
      <c r="I614">
        <v>483786</v>
      </c>
      <c r="J614" t="str">
        <v>Yes</v>
      </c>
    </row>
    <row r="615" spans="3:10" x14ac:dyDescent="0.25">
      <c r="C615">
        <v>81264</v>
      </c>
      <c r="D615" t="str">
        <v>France</v>
      </c>
      <c r="E615" t="str">
        <v>VTT</v>
      </c>
      <c r="F615">
        <v>2167</v>
      </c>
      <c r="G615">
        <v>250.63</v>
      </c>
      <c r="H615">
        <v>251</v>
      </c>
      <c r="I615">
        <v>543917</v>
      </c>
      <c r="J615" t="str">
        <v>Yes</v>
      </c>
    </row>
    <row r="616" spans="3:10" x14ac:dyDescent="0.25">
      <c r="C616">
        <v>71189</v>
      </c>
      <c r="D616" t="str">
        <v>Italy</v>
      </c>
      <c r="E616" t="str">
        <v>VTT</v>
      </c>
      <c r="F616">
        <v>2807</v>
      </c>
      <c r="G616">
        <v>250.99</v>
      </c>
      <c r="H616">
        <v>284</v>
      </c>
      <c r="I616">
        <v>797188</v>
      </c>
      <c r="J616" t="str">
        <v>No</v>
      </c>
    </row>
    <row r="617" spans="3:10" x14ac:dyDescent="0.25">
      <c r="C617">
        <v>66542</v>
      </c>
      <c r="D617" t="str">
        <v>Italy</v>
      </c>
      <c r="E617" t="str">
        <v>VTT</v>
      </c>
      <c r="F617">
        <v>986</v>
      </c>
      <c r="G617">
        <v>250.61</v>
      </c>
      <c r="H617">
        <v>319</v>
      </c>
      <c r="I617">
        <v>314534</v>
      </c>
      <c r="J617" t="str">
        <v>No</v>
      </c>
    </row>
    <row r="618" spans="3:10" x14ac:dyDescent="0.25">
      <c r="C618">
        <v>34756</v>
      </c>
      <c r="D618" t="str">
        <v>Spain</v>
      </c>
      <c r="E618" t="str">
        <v>VTT</v>
      </c>
      <c r="F618">
        <v>492</v>
      </c>
      <c r="G618">
        <v>250.96</v>
      </c>
      <c r="H618">
        <v>299</v>
      </c>
      <c r="I618">
        <v>147108</v>
      </c>
      <c r="J618" t="str">
        <v>Yes</v>
      </c>
    </row>
    <row r="619" spans="3:10" x14ac:dyDescent="0.25">
      <c r="C619">
        <v>25372</v>
      </c>
      <c r="D619" t="str">
        <v>Germany</v>
      </c>
      <c r="E619" t="str">
        <v>VTT</v>
      </c>
      <c r="F619">
        <v>1570</v>
      </c>
      <c r="G619">
        <v>250.77</v>
      </c>
      <c r="H619">
        <v>327</v>
      </c>
      <c r="I619">
        <v>513390</v>
      </c>
      <c r="J619" t="str">
        <v>Yes</v>
      </c>
    </row>
    <row r="620" spans="3:10" x14ac:dyDescent="0.25">
      <c r="C620">
        <v>70536</v>
      </c>
      <c r="D620" t="str">
        <v>Italy</v>
      </c>
      <c r="E620" t="str">
        <v>VTT</v>
      </c>
      <c r="F620">
        <v>266</v>
      </c>
      <c r="G620">
        <v>250.7</v>
      </c>
      <c r="H620">
        <v>289</v>
      </c>
      <c r="I620">
        <v>76874</v>
      </c>
      <c r="J620" t="str">
        <v>No</v>
      </c>
    </row>
    <row r="621" spans="3:10" x14ac:dyDescent="0.25">
      <c r="C621">
        <v>89813</v>
      </c>
      <c r="D621" t="str">
        <v>Netherlands</v>
      </c>
      <c r="E621" t="str">
        <v>VTT</v>
      </c>
      <c r="F621">
        <v>3244</v>
      </c>
      <c r="G621">
        <v>250.68</v>
      </c>
      <c r="H621">
        <v>254</v>
      </c>
      <c r="I621">
        <v>823976</v>
      </c>
      <c r="J621" t="str">
        <v>Yes</v>
      </c>
    </row>
    <row r="622" spans="3:10" x14ac:dyDescent="0.25">
      <c r="C622">
        <v>87427</v>
      </c>
      <c r="D622" t="str">
        <v>Germany</v>
      </c>
      <c r="E622" t="str">
        <v>VTT</v>
      </c>
      <c r="F622">
        <v>552</v>
      </c>
      <c r="G622">
        <v>250.92</v>
      </c>
      <c r="H622">
        <v>314</v>
      </c>
      <c r="I622">
        <v>173328</v>
      </c>
      <c r="J622" t="str">
        <v>No</v>
      </c>
    </row>
    <row r="623" spans="3:10" x14ac:dyDescent="0.25">
      <c r="C623">
        <v>65221</v>
      </c>
      <c r="D623" t="str">
        <v>Ireland</v>
      </c>
      <c r="E623" t="str">
        <v>VTT</v>
      </c>
      <c r="F623">
        <v>2387</v>
      </c>
      <c r="G623">
        <v>250.3</v>
      </c>
      <c r="H623">
        <v>346</v>
      </c>
      <c r="I623">
        <v>825902</v>
      </c>
      <c r="J623" t="str">
        <v>No</v>
      </c>
    </row>
    <row r="624" spans="3:10" x14ac:dyDescent="0.25">
      <c r="C624">
        <v>21823</v>
      </c>
      <c r="D624" t="str">
        <v>Ireland</v>
      </c>
      <c r="E624" t="str">
        <v>VTT</v>
      </c>
      <c r="F624">
        <v>2729</v>
      </c>
      <c r="G624">
        <v>250.81</v>
      </c>
      <c r="H624">
        <v>317</v>
      </c>
      <c r="I624">
        <v>865093</v>
      </c>
      <c r="J624" t="str">
        <v>Yes</v>
      </c>
    </row>
    <row r="625" spans="3:10" x14ac:dyDescent="0.25">
      <c r="C625">
        <v>67588</v>
      </c>
      <c r="D625" t="str">
        <v>Germany</v>
      </c>
      <c r="E625" t="str">
        <v>VTT</v>
      </c>
      <c r="F625">
        <v>2479</v>
      </c>
      <c r="G625">
        <v>250.54</v>
      </c>
      <c r="H625">
        <v>276</v>
      </c>
      <c r="I625">
        <v>684204</v>
      </c>
      <c r="J625" t="str">
        <v>No</v>
      </c>
    </row>
    <row r="626" spans="3:10" x14ac:dyDescent="0.25">
      <c r="C626">
        <v>70682</v>
      </c>
      <c r="D626" t="str">
        <v>France</v>
      </c>
      <c r="E626" t="str">
        <v>VTT</v>
      </c>
      <c r="F626">
        <v>1281</v>
      </c>
      <c r="G626">
        <v>250.68</v>
      </c>
      <c r="H626">
        <v>349</v>
      </c>
      <c r="I626">
        <v>447069</v>
      </c>
      <c r="J626" t="str">
        <v>No</v>
      </c>
    </row>
    <row r="627" spans="3:10" x14ac:dyDescent="0.25">
      <c r="C627">
        <v>68334</v>
      </c>
      <c r="D627" t="str">
        <v>Spain</v>
      </c>
      <c r="E627" t="str">
        <v>VTT</v>
      </c>
      <c r="F627">
        <v>554</v>
      </c>
      <c r="G627">
        <v>250.94</v>
      </c>
      <c r="H627">
        <v>362</v>
      </c>
      <c r="I627">
        <v>200548</v>
      </c>
      <c r="J627" t="str">
        <v>Yes</v>
      </c>
    </row>
    <row r="628" spans="3:10" x14ac:dyDescent="0.25">
      <c r="C628">
        <v>41212</v>
      </c>
      <c r="D628" t="str">
        <v>Netherlands</v>
      </c>
      <c r="E628" t="str">
        <v>VTT</v>
      </c>
      <c r="F628">
        <v>269</v>
      </c>
      <c r="G628">
        <v>250.22</v>
      </c>
      <c r="H628">
        <v>373</v>
      </c>
      <c r="I628">
        <v>100337</v>
      </c>
      <c r="J628" t="str">
        <v>No</v>
      </c>
    </row>
    <row r="629" spans="3:10" x14ac:dyDescent="0.25">
      <c r="C629">
        <v>44571</v>
      </c>
      <c r="D629" t="str">
        <v>Spain</v>
      </c>
      <c r="E629" t="str">
        <v>VTT</v>
      </c>
      <c r="F629">
        <v>432</v>
      </c>
      <c r="G629">
        <v>250.68</v>
      </c>
      <c r="H629">
        <v>329</v>
      </c>
      <c r="I629">
        <v>142128</v>
      </c>
      <c r="J629" t="str">
        <v>No</v>
      </c>
    </row>
    <row r="630" spans="3:10" x14ac:dyDescent="0.25">
      <c r="C630">
        <v>65557</v>
      </c>
      <c r="D630" t="str">
        <v>Netherlands</v>
      </c>
      <c r="E630" t="str">
        <v>VTT</v>
      </c>
      <c r="F630">
        <v>1582</v>
      </c>
      <c r="G630">
        <v>250.06</v>
      </c>
      <c r="H630">
        <v>333</v>
      </c>
      <c r="I630">
        <v>526806</v>
      </c>
      <c r="J630" t="str">
        <v>Yes</v>
      </c>
    </row>
    <row r="631" spans="3:10" x14ac:dyDescent="0.25">
      <c r="C631">
        <v>68987</v>
      </c>
      <c r="D631" t="str">
        <v>Spain</v>
      </c>
      <c r="E631" t="str">
        <v>VTT</v>
      </c>
      <c r="F631">
        <v>494</v>
      </c>
      <c r="G631">
        <v>250.89</v>
      </c>
      <c r="H631">
        <v>294</v>
      </c>
      <c r="I631">
        <v>145236</v>
      </c>
      <c r="J631" t="str">
        <v>No</v>
      </c>
    </row>
    <row r="632" spans="3:10" x14ac:dyDescent="0.25">
      <c r="C632">
        <v>44238</v>
      </c>
      <c r="D632" t="str">
        <v>Italy</v>
      </c>
      <c r="E632" t="str">
        <v>VTT</v>
      </c>
      <c r="F632">
        <v>436</v>
      </c>
      <c r="G632">
        <v>250.52</v>
      </c>
      <c r="H632">
        <v>371</v>
      </c>
      <c r="I632">
        <v>161756</v>
      </c>
      <c r="J632" t="str">
        <v>No</v>
      </c>
    </row>
    <row r="633" spans="3:10" x14ac:dyDescent="0.25">
      <c r="C633">
        <v>36823</v>
      </c>
      <c r="D633" t="str">
        <v>Ireland</v>
      </c>
      <c r="E633" t="str">
        <v>VTT</v>
      </c>
      <c r="F633">
        <v>2215</v>
      </c>
      <c r="G633">
        <v>250.02</v>
      </c>
      <c r="H633">
        <v>361</v>
      </c>
      <c r="I633">
        <v>799615</v>
      </c>
      <c r="J633" t="str">
        <v>No</v>
      </c>
    </row>
    <row r="634" spans="3:10" x14ac:dyDescent="0.25">
      <c r="C634">
        <v>71258</v>
      </c>
      <c r="D634" t="str">
        <v>Spain</v>
      </c>
      <c r="E634" t="str">
        <v>VTT</v>
      </c>
      <c r="F634">
        <v>2689</v>
      </c>
      <c r="G634">
        <v>250.75</v>
      </c>
      <c r="H634">
        <v>264</v>
      </c>
      <c r="I634">
        <v>709896</v>
      </c>
      <c r="J634" t="str">
        <v>No</v>
      </c>
    </row>
    <row r="635" spans="3:10" x14ac:dyDescent="0.25">
      <c r="C635">
        <v>97472</v>
      </c>
      <c r="D635" t="str">
        <v>Spain</v>
      </c>
      <c r="E635" t="str">
        <v>VTT</v>
      </c>
      <c r="F635">
        <v>341</v>
      </c>
      <c r="G635">
        <v>250.46</v>
      </c>
      <c r="H635">
        <v>266</v>
      </c>
      <c r="I635">
        <v>90706</v>
      </c>
      <c r="J635" t="str">
        <v>Yes</v>
      </c>
    </row>
    <row r="636" spans="3:10" x14ac:dyDescent="0.25">
      <c r="C636">
        <v>63797</v>
      </c>
      <c r="D636" t="str">
        <v>Italy</v>
      </c>
      <c r="E636" t="str">
        <v>VTT</v>
      </c>
      <c r="F636">
        <v>2294</v>
      </c>
      <c r="G636">
        <v>250.07</v>
      </c>
      <c r="H636">
        <v>266</v>
      </c>
      <c r="I636">
        <v>610204</v>
      </c>
      <c r="J636" t="str">
        <v>No</v>
      </c>
    </row>
    <row r="637" spans="3:10" x14ac:dyDescent="0.25">
      <c r="C637">
        <v>38609</v>
      </c>
      <c r="D637" t="str">
        <v>Netherlands</v>
      </c>
      <c r="E637" t="str">
        <v>VTT</v>
      </c>
      <c r="F637">
        <v>2001</v>
      </c>
      <c r="G637">
        <v>250.13</v>
      </c>
      <c r="H637">
        <v>278</v>
      </c>
      <c r="I637">
        <v>556278</v>
      </c>
      <c r="J637" t="str">
        <v>No</v>
      </c>
    </row>
    <row r="638" spans="3:10" x14ac:dyDescent="0.25">
      <c r="C638">
        <v>36924</v>
      </c>
      <c r="D638" t="str">
        <v>Netherlands</v>
      </c>
      <c r="E638" t="str">
        <v>VTT</v>
      </c>
      <c r="F638">
        <v>1326</v>
      </c>
      <c r="G638">
        <v>250.41</v>
      </c>
      <c r="H638">
        <v>291</v>
      </c>
      <c r="I638">
        <v>385866</v>
      </c>
      <c r="J638" t="str">
        <v>Yes</v>
      </c>
    </row>
    <row r="639" spans="3:10" x14ac:dyDescent="0.25">
      <c r="C639">
        <v>97337</v>
      </c>
      <c r="D639" t="str">
        <v>Italy</v>
      </c>
      <c r="E639" t="str">
        <v>VTT</v>
      </c>
      <c r="F639">
        <v>267</v>
      </c>
      <c r="G639">
        <v>250.17</v>
      </c>
      <c r="H639">
        <v>273</v>
      </c>
      <c r="I639">
        <v>72891</v>
      </c>
      <c r="J639" t="str">
        <v>Yes</v>
      </c>
    </row>
    <row r="640" spans="3:10" x14ac:dyDescent="0.25">
      <c r="C640">
        <v>56317</v>
      </c>
      <c r="D640" t="str">
        <v>France</v>
      </c>
      <c r="E640" t="str">
        <v>VTT</v>
      </c>
      <c r="F640">
        <v>959</v>
      </c>
      <c r="G640">
        <v>250.39</v>
      </c>
      <c r="H640">
        <v>261</v>
      </c>
      <c r="I640">
        <v>250299</v>
      </c>
      <c r="J640" t="str">
        <v>No</v>
      </c>
    </row>
    <row r="641" spans="3:10" x14ac:dyDescent="0.25">
      <c r="C641">
        <v>59984</v>
      </c>
      <c r="D641" t="str">
        <v>Spain</v>
      </c>
      <c r="E641" t="str">
        <v>VTT</v>
      </c>
      <c r="F641">
        <v>1514</v>
      </c>
      <c r="G641">
        <v>250.71</v>
      </c>
      <c r="H641">
        <v>271</v>
      </c>
      <c r="I641">
        <v>410294</v>
      </c>
      <c r="J641" t="str">
        <v>No</v>
      </c>
    </row>
    <row r="642" spans="3:10" x14ac:dyDescent="0.25">
      <c r="C642">
        <v>78500</v>
      </c>
      <c r="D642" t="str">
        <v>France</v>
      </c>
      <c r="E642" t="str">
        <v>VTT</v>
      </c>
      <c r="F642">
        <v>2177</v>
      </c>
      <c r="G642">
        <v>250.11</v>
      </c>
      <c r="H642">
        <v>308</v>
      </c>
      <c r="I642">
        <v>670516</v>
      </c>
      <c r="J642" t="str">
        <v>No</v>
      </c>
    </row>
    <row r="643" spans="3:10" x14ac:dyDescent="0.25">
      <c r="C643">
        <v>19019</v>
      </c>
      <c r="D643" t="str">
        <v>Germany</v>
      </c>
      <c r="E643" t="str">
        <v>VTT</v>
      </c>
      <c r="F643">
        <v>1870</v>
      </c>
      <c r="G643">
        <v>251</v>
      </c>
      <c r="H643">
        <v>309</v>
      </c>
      <c r="I643">
        <v>577830</v>
      </c>
      <c r="J643" t="str">
        <v>No</v>
      </c>
    </row>
    <row r="644" spans="3:10" x14ac:dyDescent="0.25">
      <c r="C644">
        <v>15301</v>
      </c>
      <c r="D644" t="str">
        <v>Netherlands</v>
      </c>
      <c r="E644" t="str">
        <v>VTT</v>
      </c>
      <c r="F644">
        <v>2935</v>
      </c>
      <c r="G644">
        <v>250.68</v>
      </c>
      <c r="H644">
        <v>354</v>
      </c>
      <c r="I644">
        <v>1038990</v>
      </c>
      <c r="J644" t="str">
        <v>Yes</v>
      </c>
    </row>
    <row r="645" spans="3:10" x14ac:dyDescent="0.25">
      <c r="C645">
        <v>31981</v>
      </c>
      <c r="D645" t="str">
        <v>Netherlands</v>
      </c>
      <c r="E645" t="str">
        <v>VTT</v>
      </c>
      <c r="F645">
        <v>623</v>
      </c>
      <c r="G645">
        <v>250.71</v>
      </c>
      <c r="H645">
        <v>369</v>
      </c>
      <c r="I645">
        <v>229887</v>
      </c>
      <c r="J645" t="str">
        <v>Yes</v>
      </c>
    </row>
    <row r="646" spans="3:10" x14ac:dyDescent="0.25">
      <c r="C646">
        <v>46587</v>
      </c>
      <c r="D646" t="str">
        <v>Ireland</v>
      </c>
      <c r="E646" t="str">
        <v>VTT</v>
      </c>
      <c r="F646">
        <v>1221</v>
      </c>
      <c r="G646">
        <v>250.75</v>
      </c>
      <c r="H646">
        <v>374</v>
      </c>
      <c r="I646">
        <v>456654</v>
      </c>
      <c r="J646" t="str">
        <v>Yes</v>
      </c>
    </row>
    <row r="647" spans="3:10" x14ac:dyDescent="0.25">
      <c r="C647">
        <v>13326</v>
      </c>
      <c r="D647" t="str">
        <v>Ireland</v>
      </c>
      <c r="E647" t="str">
        <v>VTT</v>
      </c>
      <c r="F647">
        <v>2436</v>
      </c>
      <c r="G647">
        <v>250.79</v>
      </c>
      <c r="H647">
        <v>347</v>
      </c>
      <c r="I647">
        <v>845292</v>
      </c>
      <c r="J647" t="str">
        <v>Yes</v>
      </c>
    </row>
    <row r="648" spans="3:10" x14ac:dyDescent="0.25">
      <c r="C648">
        <v>90754</v>
      </c>
      <c r="D648" t="str">
        <v>Spain</v>
      </c>
      <c r="E648" t="str">
        <v>VTT</v>
      </c>
      <c r="F648">
        <v>641</v>
      </c>
      <c r="G648">
        <v>250.01</v>
      </c>
      <c r="H648">
        <v>313</v>
      </c>
      <c r="I648">
        <v>200633</v>
      </c>
      <c r="J648" t="str">
        <v>Yes</v>
      </c>
    </row>
    <row r="649" spans="3:10" x14ac:dyDescent="0.25">
      <c r="C649">
        <v>14024</v>
      </c>
      <c r="D649" t="str">
        <v>Germany</v>
      </c>
      <c r="E649" t="str">
        <v>VTT</v>
      </c>
      <c r="F649">
        <v>263</v>
      </c>
      <c r="G649">
        <v>250.23</v>
      </c>
      <c r="H649">
        <v>296</v>
      </c>
      <c r="I649">
        <v>77848</v>
      </c>
      <c r="J649" t="str">
        <v>Yes</v>
      </c>
    </row>
    <row r="650" spans="3:10" x14ac:dyDescent="0.25">
      <c r="C650">
        <v>41629</v>
      </c>
      <c r="D650" t="str">
        <v>Ireland</v>
      </c>
      <c r="E650" t="str">
        <v>VTT</v>
      </c>
      <c r="F650">
        <v>2663</v>
      </c>
      <c r="G650">
        <v>250.69</v>
      </c>
      <c r="H650">
        <v>321</v>
      </c>
      <c r="I650">
        <v>854823</v>
      </c>
      <c r="J650" t="str">
        <v>No</v>
      </c>
    </row>
    <row r="651" spans="3:10" x14ac:dyDescent="0.25">
      <c r="C651">
        <v>86012</v>
      </c>
      <c r="D651" t="str">
        <v>France</v>
      </c>
      <c r="E651" t="str">
        <v>VTT</v>
      </c>
      <c r="F651">
        <v>1744</v>
      </c>
      <c r="G651">
        <v>250.96</v>
      </c>
      <c r="H651">
        <v>342</v>
      </c>
      <c r="I651">
        <v>596448</v>
      </c>
      <c r="J651" t="str">
        <v>Yes</v>
      </c>
    </row>
    <row r="652" spans="3:10" x14ac:dyDescent="0.25">
      <c r="C652">
        <v>29201</v>
      </c>
      <c r="D652" t="str">
        <v>France</v>
      </c>
      <c r="E652" t="str">
        <v>VTT</v>
      </c>
      <c r="F652">
        <v>293</v>
      </c>
      <c r="G652">
        <v>250.31</v>
      </c>
      <c r="H652">
        <v>331</v>
      </c>
      <c r="I652">
        <v>96983</v>
      </c>
      <c r="J652" t="str">
        <v>Yes</v>
      </c>
    </row>
    <row r="653" spans="3:10" x14ac:dyDescent="0.25">
      <c r="C653">
        <v>16244</v>
      </c>
      <c r="D653" t="str">
        <v>Germany</v>
      </c>
      <c r="E653" t="str">
        <v>VTT</v>
      </c>
      <c r="F653">
        <v>2659</v>
      </c>
      <c r="G653">
        <v>250.19</v>
      </c>
      <c r="H653">
        <v>263</v>
      </c>
      <c r="I653">
        <v>699317</v>
      </c>
      <c r="J653" t="str">
        <v>No</v>
      </c>
    </row>
    <row r="654" spans="3:10" x14ac:dyDescent="0.25">
      <c r="C654">
        <v>76341</v>
      </c>
      <c r="D654" t="str">
        <v>France</v>
      </c>
      <c r="E654" t="str">
        <v>VTT</v>
      </c>
      <c r="F654">
        <v>1227</v>
      </c>
      <c r="G654">
        <v>250.24</v>
      </c>
      <c r="H654">
        <v>273</v>
      </c>
      <c r="I654">
        <v>334971</v>
      </c>
      <c r="J654" t="str">
        <v>No</v>
      </c>
    </row>
    <row r="655" spans="3:10" x14ac:dyDescent="0.25">
      <c r="C655">
        <v>74064</v>
      </c>
      <c r="D655" t="str">
        <v>Germany</v>
      </c>
      <c r="E655" t="str">
        <v>VTT</v>
      </c>
      <c r="F655">
        <v>1642</v>
      </c>
      <c r="G655">
        <v>250.1</v>
      </c>
      <c r="H655">
        <v>338</v>
      </c>
      <c r="I655">
        <v>554996</v>
      </c>
      <c r="J655" t="str">
        <v>Yes</v>
      </c>
    </row>
    <row r="656" spans="3:10" x14ac:dyDescent="0.25">
      <c r="C656">
        <v>66170</v>
      </c>
      <c r="D656" t="str">
        <v>Spain</v>
      </c>
      <c r="E656" t="str">
        <v>VTT</v>
      </c>
      <c r="F656">
        <v>1123</v>
      </c>
      <c r="G656">
        <v>250.71</v>
      </c>
      <c r="H656">
        <v>279</v>
      </c>
      <c r="I656">
        <v>313317</v>
      </c>
      <c r="J656" t="str">
        <v>No</v>
      </c>
    </row>
    <row r="657" spans="3:10" x14ac:dyDescent="0.25">
      <c r="C657">
        <v>55250</v>
      </c>
      <c r="D657" t="str">
        <v>Netherlands</v>
      </c>
      <c r="E657" t="str">
        <v>VTT</v>
      </c>
      <c r="F657">
        <v>1389</v>
      </c>
      <c r="G657">
        <v>250.86</v>
      </c>
      <c r="H657">
        <v>362</v>
      </c>
      <c r="I657">
        <v>502818</v>
      </c>
      <c r="J657" t="str">
        <v>Yes</v>
      </c>
    </row>
    <row r="658" spans="3:10" x14ac:dyDescent="0.25">
      <c r="C658">
        <v>29185</v>
      </c>
      <c r="D658" t="str">
        <v>Italy</v>
      </c>
      <c r="E658" t="str">
        <v>VTT</v>
      </c>
      <c r="F658">
        <v>1956</v>
      </c>
      <c r="G658">
        <v>250.72</v>
      </c>
      <c r="H658">
        <v>281</v>
      </c>
      <c r="I658">
        <v>549636</v>
      </c>
      <c r="J658" t="str">
        <v>Yes</v>
      </c>
    </row>
    <row r="659" spans="3:10" x14ac:dyDescent="0.25">
      <c r="C659">
        <v>90957</v>
      </c>
      <c r="D659" t="str">
        <v>Italy</v>
      </c>
      <c r="E659" t="str">
        <v>VTT</v>
      </c>
      <c r="F659">
        <v>1010</v>
      </c>
      <c r="G659">
        <v>250.15</v>
      </c>
      <c r="H659">
        <v>336</v>
      </c>
      <c r="I659">
        <v>339360</v>
      </c>
      <c r="J659" t="str">
        <v>Yes</v>
      </c>
    </row>
    <row r="660" spans="3:10" x14ac:dyDescent="0.25">
      <c r="C660">
        <v>19084</v>
      </c>
      <c r="D660" t="str">
        <v>France</v>
      </c>
      <c r="E660" t="str">
        <v>VTT</v>
      </c>
      <c r="F660">
        <v>2487</v>
      </c>
      <c r="G660">
        <v>250.37</v>
      </c>
      <c r="H660">
        <v>263</v>
      </c>
      <c r="I660">
        <v>654081</v>
      </c>
      <c r="J660" t="str">
        <v>No</v>
      </c>
    </row>
    <row r="661" spans="3:10" x14ac:dyDescent="0.25">
      <c r="C661">
        <v>75550</v>
      </c>
      <c r="D661" t="str">
        <v>Spain</v>
      </c>
      <c r="E661" t="str">
        <v>VTT</v>
      </c>
      <c r="F661">
        <v>2747</v>
      </c>
      <c r="G661">
        <v>250.74</v>
      </c>
      <c r="H661">
        <v>296</v>
      </c>
      <c r="I661">
        <v>813112</v>
      </c>
      <c r="J661" t="str">
        <v>Yes</v>
      </c>
    </row>
    <row r="662" spans="3:10" x14ac:dyDescent="0.25">
      <c r="C662">
        <v>91955</v>
      </c>
      <c r="D662" t="str">
        <v>Italy</v>
      </c>
      <c r="E662" t="str">
        <v>VTT</v>
      </c>
      <c r="F662">
        <v>1351</v>
      </c>
      <c r="G662">
        <v>250.93</v>
      </c>
      <c r="H662">
        <v>254</v>
      </c>
      <c r="I662">
        <v>343154</v>
      </c>
      <c r="J662" t="str">
        <v>Yes</v>
      </c>
    </row>
    <row r="663" spans="3:10" x14ac:dyDescent="0.25">
      <c r="C663">
        <v>15509</v>
      </c>
      <c r="D663" t="str">
        <v>Netherlands</v>
      </c>
      <c r="E663" t="str">
        <v>VTT</v>
      </c>
      <c r="F663">
        <v>865</v>
      </c>
      <c r="G663">
        <v>250.53</v>
      </c>
      <c r="H663">
        <v>369</v>
      </c>
      <c r="I663">
        <v>319185</v>
      </c>
      <c r="J663" t="str">
        <v>Yes</v>
      </c>
    </row>
    <row r="664" spans="3:10" x14ac:dyDescent="0.25">
      <c r="C664">
        <v>30283</v>
      </c>
      <c r="D664" t="str">
        <v>Ireland</v>
      </c>
      <c r="E664" t="str">
        <v>VTT</v>
      </c>
      <c r="F664">
        <v>1945</v>
      </c>
      <c r="G664">
        <v>250.71</v>
      </c>
      <c r="H664">
        <v>331</v>
      </c>
      <c r="I664">
        <v>643795</v>
      </c>
      <c r="J664" t="str">
        <v>No</v>
      </c>
    </row>
    <row r="665" spans="3:10" x14ac:dyDescent="0.25">
      <c r="C665">
        <v>65591</v>
      </c>
      <c r="D665" t="str">
        <v>France</v>
      </c>
      <c r="E665" t="str">
        <v>VTT</v>
      </c>
      <c r="F665">
        <v>1491</v>
      </c>
      <c r="G665">
        <v>250.85</v>
      </c>
      <c r="H665">
        <v>276</v>
      </c>
      <c r="I665">
        <v>411516</v>
      </c>
      <c r="J665" t="str">
        <v>No</v>
      </c>
    </row>
    <row r="666" spans="3:10" x14ac:dyDescent="0.25">
      <c r="C666">
        <v>79515</v>
      </c>
      <c r="D666" t="str">
        <v>Italy</v>
      </c>
      <c r="E666" t="str">
        <v>VTT</v>
      </c>
      <c r="F666">
        <v>1153</v>
      </c>
      <c r="G666">
        <v>250.36</v>
      </c>
      <c r="H666">
        <v>341</v>
      </c>
      <c r="I666">
        <v>393173</v>
      </c>
      <c r="J666" t="str">
        <v>Yes</v>
      </c>
    </row>
    <row r="667" spans="3:10" x14ac:dyDescent="0.25">
      <c r="C667">
        <v>74936</v>
      </c>
      <c r="D667" t="str">
        <v>Ireland</v>
      </c>
      <c r="E667" t="str">
        <v>VTT</v>
      </c>
      <c r="F667">
        <v>1940</v>
      </c>
      <c r="G667">
        <v>250.4</v>
      </c>
      <c r="H667">
        <v>336</v>
      </c>
      <c r="I667">
        <v>651840</v>
      </c>
      <c r="J667" t="str">
        <v>Yes</v>
      </c>
    </row>
    <row r="668" spans="3:10" x14ac:dyDescent="0.25">
      <c r="C668">
        <v>40522</v>
      </c>
      <c r="D668" t="str">
        <v>Ireland</v>
      </c>
      <c r="E668" t="str">
        <v>VTT</v>
      </c>
      <c r="F668">
        <v>570</v>
      </c>
      <c r="G668">
        <v>250.03</v>
      </c>
      <c r="H668">
        <v>331</v>
      </c>
      <c r="I668">
        <v>188670</v>
      </c>
      <c r="J668" t="str">
        <v>Yes</v>
      </c>
    </row>
    <row r="669" spans="3:10" x14ac:dyDescent="0.25">
      <c r="C669">
        <v>28314</v>
      </c>
      <c r="D669" t="str">
        <v>Italy</v>
      </c>
      <c r="E669" t="str">
        <v>VTT</v>
      </c>
      <c r="F669">
        <v>1806</v>
      </c>
      <c r="G669">
        <v>250.02</v>
      </c>
      <c r="H669">
        <v>273</v>
      </c>
      <c r="I669">
        <v>493038</v>
      </c>
      <c r="J669" t="str">
        <v>Yes</v>
      </c>
    </row>
    <row r="670" spans="3:10" x14ac:dyDescent="0.25">
      <c r="C670">
        <v>87875</v>
      </c>
      <c r="D670" t="str">
        <v>France</v>
      </c>
      <c r="E670" t="str">
        <v>VTT</v>
      </c>
      <c r="F670">
        <v>866</v>
      </c>
      <c r="G670">
        <v>250.27</v>
      </c>
      <c r="H670">
        <v>321</v>
      </c>
      <c r="I670">
        <v>277986</v>
      </c>
      <c r="J670" t="str">
        <v>No</v>
      </c>
    </row>
    <row r="671" spans="3:10" x14ac:dyDescent="0.25">
      <c r="C671">
        <v>99086</v>
      </c>
      <c r="D671" t="str">
        <v>Italy</v>
      </c>
      <c r="E671" t="str">
        <v>VTT</v>
      </c>
      <c r="F671">
        <v>2567</v>
      </c>
      <c r="G671">
        <v>250.05</v>
      </c>
      <c r="H671">
        <v>323</v>
      </c>
      <c r="I671">
        <v>829141</v>
      </c>
      <c r="J671" t="str">
        <v>Yes</v>
      </c>
    </row>
    <row r="672" spans="3:10" x14ac:dyDescent="0.25">
      <c r="C672">
        <v>27198</v>
      </c>
      <c r="D672" t="str">
        <v>Netherlands</v>
      </c>
      <c r="E672" t="str">
        <v>VTT</v>
      </c>
      <c r="F672">
        <v>2109</v>
      </c>
      <c r="G672">
        <v>250.26</v>
      </c>
      <c r="H672">
        <v>346</v>
      </c>
      <c r="I672">
        <v>729714</v>
      </c>
      <c r="J672" t="str">
        <v>No</v>
      </c>
    </row>
    <row r="673" spans="3:10" x14ac:dyDescent="0.25">
      <c r="C673">
        <v>27406</v>
      </c>
      <c r="D673" t="str">
        <v>Italy</v>
      </c>
      <c r="E673" t="str">
        <v>VTT</v>
      </c>
      <c r="F673">
        <v>2541</v>
      </c>
      <c r="G673">
        <v>250.6</v>
      </c>
      <c r="H673">
        <v>261</v>
      </c>
      <c r="I673">
        <v>663201</v>
      </c>
      <c r="J673" t="str">
        <v>Yes</v>
      </c>
    </row>
    <row r="674" spans="3:10" x14ac:dyDescent="0.25">
      <c r="C674">
        <v>60601</v>
      </c>
      <c r="D674" t="str">
        <v>France</v>
      </c>
      <c r="E674" t="str">
        <v>VTT</v>
      </c>
      <c r="F674">
        <v>381</v>
      </c>
      <c r="G674">
        <v>250.66</v>
      </c>
      <c r="H674">
        <v>334</v>
      </c>
      <c r="I674">
        <v>127254</v>
      </c>
      <c r="J674" t="str">
        <v>Yes</v>
      </c>
    </row>
    <row r="675" spans="3:10" x14ac:dyDescent="0.25">
      <c r="C675">
        <v>62513</v>
      </c>
      <c r="D675" t="str">
        <v>Germany</v>
      </c>
      <c r="E675" t="str">
        <v>VTT</v>
      </c>
      <c r="F675">
        <v>214</v>
      </c>
      <c r="G675">
        <v>250.7</v>
      </c>
      <c r="H675">
        <v>367</v>
      </c>
      <c r="I675">
        <v>78538</v>
      </c>
      <c r="J675" t="str">
        <v>Yes</v>
      </c>
    </row>
    <row r="676" spans="3:10" x14ac:dyDescent="0.25">
      <c r="C676">
        <v>12001</v>
      </c>
      <c r="D676" t="str">
        <v>Ireland</v>
      </c>
      <c r="E676" t="str">
        <v>VTT</v>
      </c>
      <c r="F676">
        <v>877</v>
      </c>
      <c r="G676">
        <v>250.34</v>
      </c>
      <c r="H676">
        <v>343</v>
      </c>
      <c r="I676">
        <v>300811</v>
      </c>
      <c r="J676" t="str">
        <v>No</v>
      </c>
    </row>
    <row r="677" spans="3:10" x14ac:dyDescent="0.25">
      <c r="C677">
        <v>86292</v>
      </c>
      <c r="D677" t="str">
        <v>Germany</v>
      </c>
      <c r="E677" t="str">
        <v>VTT</v>
      </c>
      <c r="F677">
        <v>360</v>
      </c>
      <c r="G677">
        <v>250.99</v>
      </c>
      <c r="H677">
        <v>374</v>
      </c>
      <c r="I677">
        <v>134640</v>
      </c>
      <c r="J677" t="str">
        <v>No</v>
      </c>
    </row>
    <row r="678" spans="3:10" x14ac:dyDescent="0.25">
      <c r="C678">
        <v>53415</v>
      </c>
      <c r="D678" t="str">
        <v>Germany</v>
      </c>
      <c r="E678" t="str">
        <v>VTT</v>
      </c>
      <c r="F678">
        <v>1531</v>
      </c>
      <c r="G678">
        <v>250.94</v>
      </c>
      <c r="H678">
        <v>251</v>
      </c>
      <c r="I678">
        <v>384281</v>
      </c>
      <c r="J678" t="str">
        <v>No</v>
      </c>
    </row>
    <row r="679" spans="3:10" x14ac:dyDescent="0.25">
      <c r="C679">
        <v>78772</v>
      </c>
      <c r="D679" t="str">
        <v>France</v>
      </c>
      <c r="E679" t="str">
        <v>VTT</v>
      </c>
      <c r="F679">
        <v>787</v>
      </c>
      <c r="G679">
        <v>250.99</v>
      </c>
      <c r="H679">
        <v>319</v>
      </c>
      <c r="I679">
        <v>251053</v>
      </c>
      <c r="J679" t="str">
        <v>Yes</v>
      </c>
    </row>
    <row r="680" spans="3:10" x14ac:dyDescent="0.25">
      <c r="C680">
        <v>19630</v>
      </c>
      <c r="D680" t="str">
        <v>Germany</v>
      </c>
      <c r="E680" t="str">
        <v>VTT</v>
      </c>
      <c r="F680">
        <v>2838</v>
      </c>
      <c r="G680">
        <v>250.7</v>
      </c>
      <c r="H680">
        <v>281</v>
      </c>
      <c r="I680">
        <v>797478</v>
      </c>
      <c r="J680" t="str">
        <v>Yes</v>
      </c>
    </row>
    <row r="681" spans="3:10" x14ac:dyDescent="0.25">
      <c r="C681">
        <v>52906</v>
      </c>
      <c r="D681" t="str">
        <v>France</v>
      </c>
      <c r="E681" t="str">
        <v>VTT</v>
      </c>
      <c r="F681">
        <v>2682</v>
      </c>
      <c r="G681">
        <v>250.87</v>
      </c>
      <c r="H681">
        <v>259</v>
      </c>
      <c r="I681">
        <v>694638</v>
      </c>
      <c r="J681" t="str">
        <v>No</v>
      </c>
    </row>
    <row r="682" spans="3:10" x14ac:dyDescent="0.25">
      <c r="C682">
        <v>74082</v>
      </c>
      <c r="D682" t="str">
        <v>Spain</v>
      </c>
      <c r="E682" t="str">
        <v>VTT</v>
      </c>
      <c r="F682">
        <v>521</v>
      </c>
      <c r="G682">
        <v>250.98</v>
      </c>
      <c r="H682">
        <v>307</v>
      </c>
      <c r="I682">
        <v>159947</v>
      </c>
      <c r="J682" t="str">
        <v>Yes</v>
      </c>
    </row>
    <row r="683" spans="3:10" x14ac:dyDescent="0.25">
      <c r="C683">
        <v>45131</v>
      </c>
      <c r="D683" t="str">
        <v>Italy</v>
      </c>
      <c r="E683" t="str">
        <v>VTT</v>
      </c>
      <c r="F683">
        <v>808</v>
      </c>
      <c r="G683">
        <v>250.34</v>
      </c>
      <c r="H683">
        <v>366</v>
      </c>
      <c r="I683">
        <v>295728</v>
      </c>
      <c r="J683" t="str">
        <v>Yes</v>
      </c>
    </row>
    <row r="684" spans="3:10" x14ac:dyDescent="0.25">
      <c r="C684">
        <v>62363</v>
      </c>
      <c r="D684" t="str">
        <v>Spain</v>
      </c>
      <c r="E684" t="str">
        <v>VTT</v>
      </c>
      <c r="F684">
        <v>1397</v>
      </c>
      <c r="G684">
        <v>251</v>
      </c>
      <c r="H684">
        <v>357</v>
      </c>
      <c r="I684">
        <v>498729</v>
      </c>
      <c r="J684" t="str">
        <v>No</v>
      </c>
    </row>
    <row r="685" spans="3:10" x14ac:dyDescent="0.25">
      <c r="C685">
        <v>31073</v>
      </c>
      <c r="D685" t="str">
        <v>Netherlands</v>
      </c>
      <c r="E685" t="str">
        <v>VTT</v>
      </c>
      <c r="F685">
        <v>2529</v>
      </c>
      <c r="G685">
        <v>250.01</v>
      </c>
      <c r="H685">
        <v>358</v>
      </c>
      <c r="I685">
        <v>905382</v>
      </c>
      <c r="J685" t="str">
        <v>Yes</v>
      </c>
    </row>
    <row r="686" spans="3:10" x14ac:dyDescent="0.25">
      <c r="C686">
        <v>75174</v>
      </c>
      <c r="D686" t="str">
        <v>Germany</v>
      </c>
      <c r="E686" t="str">
        <v>VTT</v>
      </c>
      <c r="F686">
        <v>422</v>
      </c>
      <c r="G686">
        <v>250.83</v>
      </c>
      <c r="H686">
        <v>367</v>
      </c>
      <c r="I686">
        <v>154874</v>
      </c>
      <c r="J686" t="str">
        <v>Yes</v>
      </c>
    </row>
    <row r="687" spans="3:10" x14ac:dyDescent="0.25">
      <c r="C687">
        <v>12366</v>
      </c>
      <c r="D687" t="str">
        <v>Ireland</v>
      </c>
      <c r="E687" t="str">
        <v>VTT</v>
      </c>
      <c r="F687">
        <v>662</v>
      </c>
      <c r="G687">
        <v>250.12</v>
      </c>
      <c r="H687">
        <v>371</v>
      </c>
      <c r="I687">
        <v>245602</v>
      </c>
      <c r="J687" t="str">
        <v>No</v>
      </c>
    </row>
    <row r="688" spans="3:10" x14ac:dyDescent="0.25">
      <c r="C688">
        <v>97245</v>
      </c>
      <c r="D688" t="str">
        <v>France</v>
      </c>
      <c r="E688" t="str">
        <v>VTT</v>
      </c>
      <c r="F688">
        <v>1527</v>
      </c>
      <c r="G688">
        <v>250.32</v>
      </c>
      <c r="H688">
        <v>263</v>
      </c>
      <c r="I688">
        <v>401601</v>
      </c>
      <c r="J688" t="str">
        <v>Yes</v>
      </c>
    </row>
    <row r="689" spans="3:10" x14ac:dyDescent="0.25">
      <c r="C689">
        <v>26659</v>
      </c>
      <c r="D689" t="str">
        <v>Spain</v>
      </c>
      <c r="E689" t="str">
        <v>VTT</v>
      </c>
      <c r="F689">
        <v>1498</v>
      </c>
      <c r="G689">
        <v>250.94</v>
      </c>
      <c r="H689">
        <v>279</v>
      </c>
      <c r="I689">
        <v>417942</v>
      </c>
      <c r="J689" t="str">
        <v>Yes</v>
      </c>
    </row>
    <row r="690" spans="3:10" x14ac:dyDescent="0.25">
      <c r="C690">
        <v>51914</v>
      </c>
      <c r="D690" t="str">
        <v>Ireland</v>
      </c>
      <c r="E690" t="str">
        <v>VTT</v>
      </c>
      <c r="F690">
        <v>727</v>
      </c>
      <c r="G690">
        <v>250.77</v>
      </c>
      <c r="H690">
        <v>364</v>
      </c>
      <c r="I690">
        <v>264628</v>
      </c>
      <c r="J690" t="str">
        <v>Yes</v>
      </c>
    </row>
    <row r="691" spans="3:10" x14ac:dyDescent="0.25">
      <c r="C691">
        <v>84323</v>
      </c>
      <c r="D691" t="str">
        <v>France</v>
      </c>
      <c r="E691" t="str">
        <v>VTT</v>
      </c>
      <c r="F691">
        <v>2151</v>
      </c>
      <c r="G691">
        <v>250.2</v>
      </c>
      <c r="H691">
        <v>361</v>
      </c>
      <c r="I691">
        <v>776511</v>
      </c>
      <c r="J691" t="str">
        <v>Yes</v>
      </c>
    </row>
    <row r="692" spans="3:10" x14ac:dyDescent="0.25">
      <c r="C692">
        <v>51630</v>
      </c>
      <c r="D692" t="str">
        <v>Germany</v>
      </c>
      <c r="E692" t="str">
        <v>VTT</v>
      </c>
      <c r="F692">
        <v>2877</v>
      </c>
      <c r="G692">
        <v>250.88</v>
      </c>
      <c r="H692">
        <v>364</v>
      </c>
      <c r="I692">
        <v>1047228</v>
      </c>
      <c r="J692" t="str">
        <v>Yes</v>
      </c>
    </row>
    <row r="693" spans="3:10" x14ac:dyDescent="0.25">
      <c r="C693">
        <v>11851</v>
      </c>
      <c r="D693" t="str">
        <v>Ireland</v>
      </c>
      <c r="E693" t="str">
        <v>VTT</v>
      </c>
      <c r="F693">
        <v>1265</v>
      </c>
      <c r="G693">
        <v>250.82</v>
      </c>
      <c r="H693">
        <v>372</v>
      </c>
      <c r="I693">
        <v>470580</v>
      </c>
      <c r="J693" t="str">
        <v>No</v>
      </c>
    </row>
    <row r="694" spans="3:10" x14ac:dyDescent="0.25">
      <c r="C694">
        <v>12263</v>
      </c>
      <c r="D694" t="str">
        <v>Germany</v>
      </c>
      <c r="E694" t="str">
        <v>VTT</v>
      </c>
      <c r="F694">
        <v>880</v>
      </c>
      <c r="G694">
        <v>250.86</v>
      </c>
      <c r="H694">
        <v>354</v>
      </c>
      <c r="I694">
        <v>311520</v>
      </c>
      <c r="J694" t="str">
        <v>Yes</v>
      </c>
    </row>
    <row r="695" spans="3:10" x14ac:dyDescent="0.25">
      <c r="C695">
        <v>88024</v>
      </c>
      <c r="D695" t="str">
        <v>Ireland</v>
      </c>
      <c r="E695" t="str">
        <v>VTT</v>
      </c>
      <c r="F695">
        <v>2954</v>
      </c>
      <c r="G695">
        <v>250.53</v>
      </c>
      <c r="H695">
        <v>309</v>
      </c>
      <c r="I695">
        <v>912786</v>
      </c>
      <c r="J695" t="str">
        <v>Yes</v>
      </c>
    </row>
    <row r="696" spans="3:10" x14ac:dyDescent="0.25">
      <c r="C696">
        <v>87185</v>
      </c>
      <c r="D696" t="str">
        <v>Germany</v>
      </c>
      <c r="E696" t="str">
        <v>VTT</v>
      </c>
      <c r="F696">
        <v>1175</v>
      </c>
      <c r="G696">
        <v>250.39</v>
      </c>
      <c r="H696">
        <v>364</v>
      </c>
      <c r="I696">
        <v>427700</v>
      </c>
      <c r="J696" t="str">
        <v>No</v>
      </c>
    </row>
    <row r="697" spans="3:10" x14ac:dyDescent="0.25">
      <c r="C697">
        <v>77620</v>
      </c>
      <c r="D697" t="str">
        <v>Italy</v>
      </c>
      <c r="E697" t="str">
        <v>VTT</v>
      </c>
      <c r="F697">
        <v>1867</v>
      </c>
      <c r="G697">
        <v>250.28</v>
      </c>
      <c r="H697">
        <v>366</v>
      </c>
      <c r="I697">
        <v>683322</v>
      </c>
      <c r="J697" t="str">
        <v>Yes</v>
      </c>
    </row>
    <row r="698" spans="3:10" x14ac:dyDescent="0.25">
      <c r="C698">
        <v>21935</v>
      </c>
      <c r="D698" t="str">
        <v>Spain</v>
      </c>
      <c r="E698" t="str">
        <v>VTT</v>
      </c>
      <c r="F698">
        <v>1005</v>
      </c>
      <c r="G698">
        <v>250.72</v>
      </c>
      <c r="H698">
        <v>281</v>
      </c>
      <c r="I698">
        <v>282405</v>
      </c>
      <c r="J698" t="str">
        <v>No</v>
      </c>
    </row>
    <row r="699" spans="3:10" x14ac:dyDescent="0.25">
      <c r="C699">
        <v>93358</v>
      </c>
      <c r="D699" t="str">
        <v>Spain</v>
      </c>
      <c r="E699" t="str">
        <v>VTT</v>
      </c>
      <c r="F699">
        <v>1233</v>
      </c>
      <c r="G699">
        <v>250.34</v>
      </c>
      <c r="H699">
        <v>291</v>
      </c>
      <c r="I699">
        <v>358803</v>
      </c>
      <c r="J699" t="str">
        <v>No</v>
      </c>
    </row>
    <row r="700" spans="3:10" x14ac:dyDescent="0.25">
      <c r="C700">
        <v>76960</v>
      </c>
      <c r="D700" t="str">
        <v>Germany</v>
      </c>
      <c r="E700" t="str">
        <v>VTT</v>
      </c>
      <c r="F700">
        <v>888</v>
      </c>
      <c r="G700">
        <v>250.94</v>
      </c>
      <c r="H700">
        <v>292</v>
      </c>
      <c r="I700">
        <v>259296</v>
      </c>
      <c r="J700" t="str">
        <v>Yes</v>
      </c>
    </row>
    <row r="701" spans="3:10" x14ac:dyDescent="0.25">
      <c r="C701">
        <v>41770</v>
      </c>
      <c r="D701" t="str">
        <v>Spain</v>
      </c>
      <c r="E701" t="str">
        <v>VTT</v>
      </c>
      <c r="F701">
        <v>2903</v>
      </c>
      <c r="G701">
        <v>250.32</v>
      </c>
      <c r="H701">
        <v>356</v>
      </c>
      <c r="I701">
        <v>1033468</v>
      </c>
      <c r="J701" t="str">
        <v>Yes</v>
      </c>
    </row>
    <row r="702" spans="3:10" x14ac:dyDescent="0.25">
      <c r="C702">
        <v>69792</v>
      </c>
      <c r="D702" t="str">
        <v>Netherlands</v>
      </c>
      <c r="E702" t="str">
        <v>VTT</v>
      </c>
      <c r="F702">
        <v>2844</v>
      </c>
      <c r="G702">
        <v>250.34</v>
      </c>
      <c r="H702">
        <v>358</v>
      </c>
      <c r="I702">
        <v>1018152</v>
      </c>
      <c r="J702" t="str">
        <v>No</v>
      </c>
    </row>
    <row r="703" spans="3:10" x14ac:dyDescent="0.25">
      <c r="C703">
        <v>83036</v>
      </c>
      <c r="D703" t="str">
        <v>Italy</v>
      </c>
      <c r="E703" t="str">
        <v>VTT</v>
      </c>
      <c r="F703">
        <v>2844</v>
      </c>
      <c r="G703">
        <v>250.01</v>
      </c>
      <c r="H703">
        <v>268</v>
      </c>
      <c r="I703">
        <v>762192</v>
      </c>
      <c r="J703" t="str">
        <v>No</v>
      </c>
    </row>
    <row r="704" spans="3:10" x14ac:dyDescent="0.25">
      <c r="C704">
        <v>62163</v>
      </c>
      <c r="D704" t="str">
        <v>Netherlands</v>
      </c>
      <c r="E704" t="str">
        <v>VTT</v>
      </c>
      <c r="F704">
        <v>2134</v>
      </c>
      <c r="G704">
        <v>250.6</v>
      </c>
      <c r="H704">
        <v>289</v>
      </c>
      <c r="I704">
        <v>616726</v>
      </c>
      <c r="J704" t="str">
        <v>No</v>
      </c>
    </row>
  </sheetData>
  <dataValidations count="2">
    <dataValidation type="list" allowBlank="1" showInputMessage="1" showErrorMessage="1" sqref="M1" xr:uid="{8FD3B947-399C-427D-8FF0-A56C63717261}">
      <formula1>_xlfn.ANCHORARRAY($A$9)</formula1>
    </dataValidation>
    <dataValidation type="list" allowBlank="1" showInputMessage="1" showErrorMessage="1" sqref="Y1" xr:uid="{142BC6C3-1DB8-4A01-9901-49B8E20B442B}">
      <formula1>_xlfn.ANCHORARRAY($A$25)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E52A3-706E-4B18-846E-95B975D36ACA}">
  <dimension ref="B10:C15"/>
  <sheetViews>
    <sheetView workbookViewId="0">
      <selection activeCell="B14" sqref="B14"/>
    </sheetView>
  </sheetViews>
  <sheetFormatPr defaultRowHeight="15" x14ac:dyDescent="0.25"/>
  <sheetData>
    <row r="10" spans="2:3" x14ac:dyDescent="0.25">
      <c r="B10" s="1">
        <v>0.24</v>
      </c>
      <c r="C10" t="s">
        <v>42</v>
      </c>
    </row>
    <row r="11" spans="2:3" x14ac:dyDescent="0.25">
      <c r="B11" s="1">
        <v>0.2</v>
      </c>
      <c r="C11" t="s">
        <v>44</v>
      </c>
    </row>
    <row r="12" spans="2:3" x14ac:dyDescent="0.25">
      <c r="B12" s="1">
        <v>0.21</v>
      </c>
      <c r="C12" t="s">
        <v>43</v>
      </c>
    </row>
    <row r="13" spans="2:3" x14ac:dyDescent="0.25">
      <c r="B13" s="1">
        <v>0.23</v>
      </c>
      <c r="C13" t="s">
        <v>32</v>
      </c>
    </row>
    <row r="14" spans="2:3" x14ac:dyDescent="0.25">
      <c r="B14" s="1">
        <v>0.19</v>
      </c>
      <c r="C14" t="s">
        <v>27</v>
      </c>
    </row>
    <row r="15" spans="2:3" x14ac:dyDescent="0.25">
      <c r="B15" s="1">
        <v>0.22</v>
      </c>
      <c r="C15" t="s">
        <v>29</v>
      </c>
    </row>
  </sheetData>
  <sortState xmlns:xlrd2="http://schemas.microsoft.com/office/spreadsheetml/2017/richdata2" ref="C10:C29">
    <sortCondition descending="1" ref="C2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25BED-4A81-4642-9C57-1241251F9AFD}">
  <sheetPr codeName="Sheet2"/>
  <dimension ref="C5:D14"/>
  <sheetViews>
    <sheetView workbookViewId="0"/>
  </sheetViews>
  <sheetFormatPr defaultRowHeight="15" x14ac:dyDescent="0.25"/>
  <sheetData>
    <row r="5" spans="3:4" x14ac:dyDescent="0.25">
      <c r="C5" t="s">
        <v>61</v>
      </c>
      <c r="D5" t="s">
        <v>70</v>
      </c>
    </row>
    <row r="6" spans="3:4" x14ac:dyDescent="0.25">
      <c r="C6" t="s">
        <v>62</v>
      </c>
      <c r="D6">
        <v>10.99</v>
      </c>
    </row>
    <row r="7" spans="3:4" x14ac:dyDescent="0.25">
      <c r="C7" t="s">
        <v>63</v>
      </c>
      <c r="D7">
        <v>8.5</v>
      </c>
    </row>
    <row r="8" spans="3:4" x14ac:dyDescent="0.25">
      <c r="C8" t="s">
        <v>64</v>
      </c>
      <c r="D8">
        <v>7.75</v>
      </c>
    </row>
    <row r="9" spans="3:4" x14ac:dyDescent="0.25">
      <c r="C9" t="s">
        <v>150</v>
      </c>
      <c r="D9">
        <v>11.25</v>
      </c>
    </row>
    <row r="10" spans="3:4" x14ac:dyDescent="0.25">
      <c r="C10" t="s">
        <v>65</v>
      </c>
      <c r="D10">
        <v>9.25</v>
      </c>
    </row>
    <row r="11" spans="3:4" x14ac:dyDescent="0.25">
      <c r="C11" t="s">
        <v>66</v>
      </c>
      <c r="D11">
        <v>8.5</v>
      </c>
    </row>
    <row r="12" spans="3:4" x14ac:dyDescent="0.25">
      <c r="C12" t="s">
        <v>67</v>
      </c>
      <c r="D12">
        <v>9</v>
      </c>
    </row>
    <row r="13" spans="3:4" x14ac:dyDescent="0.25">
      <c r="C13" t="s">
        <v>68</v>
      </c>
      <c r="D13">
        <v>5</v>
      </c>
    </row>
    <row r="14" spans="3:4" x14ac:dyDescent="0.25">
      <c r="C14" t="s">
        <v>69</v>
      </c>
      <c r="D14">
        <v>15.99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130C4-77B7-4F50-A81D-AB6B11CFFAA0}">
  <sheetPr codeName="Sheet3"/>
  <dimension ref="C6:G18"/>
  <sheetViews>
    <sheetView workbookViewId="0"/>
  </sheetViews>
  <sheetFormatPr defaultRowHeight="15" x14ac:dyDescent="0.25"/>
  <sheetData>
    <row r="6" spans="3:7" x14ac:dyDescent="0.25">
      <c r="C6" t="s">
        <v>60</v>
      </c>
      <c r="D6" t="s">
        <v>0</v>
      </c>
      <c r="E6" t="s">
        <v>1</v>
      </c>
      <c r="F6" t="s">
        <v>2</v>
      </c>
      <c r="G6" t="s">
        <v>3</v>
      </c>
    </row>
    <row r="7" spans="3:7" x14ac:dyDescent="0.25">
      <c r="C7" t="s">
        <v>4</v>
      </c>
      <c r="D7">
        <v>6495</v>
      </c>
      <c r="E7">
        <v>4180</v>
      </c>
      <c r="F7">
        <v>2081</v>
      </c>
      <c r="G7">
        <v>3336</v>
      </c>
    </row>
    <row r="8" spans="3:7" x14ac:dyDescent="0.25">
      <c r="C8" t="s">
        <v>5</v>
      </c>
      <c r="D8">
        <v>5760</v>
      </c>
      <c r="E8">
        <v>4156</v>
      </c>
      <c r="F8">
        <v>4829</v>
      </c>
      <c r="G8">
        <v>4195</v>
      </c>
    </row>
    <row r="9" spans="3:7" x14ac:dyDescent="0.25">
      <c r="C9" t="s">
        <v>6</v>
      </c>
      <c r="D9">
        <v>2272</v>
      </c>
      <c r="E9">
        <v>2184</v>
      </c>
      <c r="F9">
        <v>2971</v>
      </c>
      <c r="G9">
        <v>5482</v>
      </c>
    </row>
    <row r="10" spans="3:7" x14ac:dyDescent="0.25">
      <c r="C10" t="s">
        <v>7</v>
      </c>
      <c r="D10">
        <v>2279</v>
      </c>
      <c r="E10">
        <v>3918</v>
      </c>
      <c r="F10">
        <v>6912</v>
      </c>
      <c r="G10">
        <v>3237</v>
      </c>
    </row>
    <row r="11" spans="3:7" x14ac:dyDescent="0.25">
      <c r="C11" t="s">
        <v>8</v>
      </c>
      <c r="D11">
        <v>5287</v>
      </c>
      <c r="E11">
        <v>4228</v>
      </c>
      <c r="F11">
        <v>1472</v>
      </c>
      <c r="G11">
        <v>5079</v>
      </c>
    </row>
    <row r="12" spans="3:7" x14ac:dyDescent="0.25">
      <c r="C12" t="s">
        <v>9</v>
      </c>
      <c r="D12">
        <v>2835</v>
      </c>
      <c r="E12">
        <v>6041</v>
      </c>
      <c r="F12">
        <v>6650</v>
      </c>
      <c r="G12">
        <v>2988</v>
      </c>
    </row>
    <row r="13" spans="3:7" x14ac:dyDescent="0.25">
      <c r="C13" t="s">
        <v>10</v>
      </c>
      <c r="D13">
        <v>6148</v>
      </c>
      <c r="E13">
        <v>2623</v>
      </c>
      <c r="F13">
        <v>3932</v>
      </c>
      <c r="G13">
        <v>1207</v>
      </c>
    </row>
    <row r="14" spans="3:7" x14ac:dyDescent="0.25">
      <c r="C14" t="s">
        <v>11</v>
      </c>
      <c r="D14">
        <v>3522</v>
      </c>
      <c r="E14">
        <v>2253</v>
      </c>
      <c r="F14">
        <v>4437</v>
      </c>
      <c r="G14">
        <v>5285</v>
      </c>
    </row>
    <row r="15" spans="3:7" x14ac:dyDescent="0.25">
      <c r="C15" t="s">
        <v>12</v>
      </c>
      <c r="D15">
        <v>4960</v>
      </c>
      <c r="E15">
        <v>1779</v>
      </c>
      <c r="F15">
        <v>1144</v>
      </c>
      <c r="G15">
        <v>1473</v>
      </c>
    </row>
    <row r="16" spans="3:7" x14ac:dyDescent="0.25">
      <c r="C16" t="s">
        <v>13</v>
      </c>
      <c r="D16">
        <v>6020</v>
      </c>
      <c r="E16">
        <v>6348</v>
      </c>
      <c r="F16">
        <v>6067</v>
      </c>
      <c r="G16">
        <v>1615</v>
      </c>
    </row>
    <row r="17" spans="3:7" x14ac:dyDescent="0.25">
      <c r="C17" t="s">
        <v>14</v>
      </c>
      <c r="D17">
        <v>2174</v>
      </c>
      <c r="E17">
        <v>4637</v>
      </c>
      <c r="F17">
        <v>6737</v>
      </c>
      <c r="G17">
        <v>6095</v>
      </c>
    </row>
    <row r="18" spans="3:7" x14ac:dyDescent="0.25">
      <c r="C18" t="s">
        <v>15</v>
      </c>
      <c r="D18">
        <v>6298</v>
      </c>
      <c r="E18">
        <v>4157</v>
      </c>
      <c r="F18">
        <v>6263</v>
      </c>
      <c r="G18">
        <v>3834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DAF43-0AE7-49D1-AFDB-638CA60CA1CE}">
  <sheetPr codeName="Sheet4"/>
  <dimension ref="C2:E14"/>
  <sheetViews>
    <sheetView workbookViewId="0">
      <selection activeCell="D3" sqref="D3"/>
    </sheetView>
  </sheetViews>
  <sheetFormatPr defaultRowHeight="15" x14ac:dyDescent="0.25"/>
  <cols>
    <col min="4" max="4" width="13.140625" bestFit="1" customWidth="1"/>
    <col min="5" max="5" width="16.7109375" bestFit="1" customWidth="1"/>
  </cols>
  <sheetData>
    <row r="2" spans="3:5" x14ac:dyDescent="0.25">
      <c r="C2" t="s">
        <v>57</v>
      </c>
      <c r="D2" t="s">
        <v>58</v>
      </c>
      <c r="E2" t="s">
        <v>342</v>
      </c>
    </row>
    <row r="3" spans="3:5" x14ac:dyDescent="0.25">
      <c r="C3" s="7">
        <v>45658</v>
      </c>
      <c r="D3" s="6">
        <v>7.8E-2</v>
      </c>
      <c r="E3">
        <v>9360</v>
      </c>
    </row>
    <row r="4" spans="3:5" x14ac:dyDescent="0.25">
      <c r="C4" s="7">
        <v>45689</v>
      </c>
      <c r="D4" s="6">
        <v>8.5000000000000006E-2</v>
      </c>
      <c r="E4">
        <v>10200</v>
      </c>
    </row>
    <row r="5" spans="3:5" x14ac:dyDescent="0.25">
      <c r="C5" s="7">
        <v>45717</v>
      </c>
      <c r="D5" s="6">
        <v>7.6999999999999999E-2</v>
      </c>
      <c r="E5">
        <v>8470</v>
      </c>
    </row>
    <row r="6" spans="3:5" x14ac:dyDescent="0.25">
      <c r="C6" s="7">
        <v>45748</v>
      </c>
      <c r="D6" s="6">
        <v>7.1999999999999995E-2</v>
      </c>
      <c r="E6">
        <v>7919.9999999999991</v>
      </c>
    </row>
    <row r="7" spans="3:5" x14ac:dyDescent="0.25">
      <c r="C7" s="7">
        <v>45778</v>
      </c>
      <c r="D7" s="6">
        <v>6.6000000000000003E-2</v>
      </c>
      <c r="E7">
        <v>7920</v>
      </c>
    </row>
    <row r="8" spans="3:5" x14ac:dyDescent="0.25">
      <c r="C8" s="7">
        <v>45809</v>
      </c>
      <c r="D8" s="6">
        <v>6.0999999999999999E-2</v>
      </c>
      <c r="E8">
        <v>5489.9999999999991</v>
      </c>
    </row>
    <row r="9" spans="3:5" x14ac:dyDescent="0.25">
      <c r="C9" s="7">
        <v>45839</v>
      </c>
      <c r="D9" s="6">
        <v>5.8000000000000003E-2</v>
      </c>
      <c r="E9">
        <v>6380</v>
      </c>
    </row>
    <row r="10" spans="3:5" x14ac:dyDescent="0.25">
      <c r="C10" s="7">
        <v>45870</v>
      </c>
      <c r="D10" s="6">
        <v>6.3E-2</v>
      </c>
      <c r="E10">
        <v>5040</v>
      </c>
    </row>
    <row r="11" spans="3:5" x14ac:dyDescent="0.25">
      <c r="C11" s="7">
        <v>45901</v>
      </c>
      <c r="D11" s="6">
        <v>6.4000000000000001E-2</v>
      </c>
      <c r="E11">
        <v>5760.0000000000009</v>
      </c>
    </row>
    <row r="12" spans="3:5" x14ac:dyDescent="0.25">
      <c r="C12" s="7">
        <v>45931</v>
      </c>
      <c r="D12" s="6">
        <v>5.0999999999999997E-2</v>
      </c>
      <c r="E12">
        <v>5100</v>
      </c>
    </row>
    <row r="13" spans="3:5" x14ac:dyDescent="0.25">
      <c r="C13" s="7">
        <v>45962</v>
      </c>
      <c r="D13" s="6">
        <v>3.9E-2</v>
      </c>
      <c r="E13">
        <v>4290</v>
      </c>
    </row>
    <row r="14" spans="3:5" x14ac:dyDescent="0.25">
      <c r="C14" s="7">
        <v>45992</v>
      </c>
      <c r="D14" s="6">
        <v>4.5999999999999999E-2</v>
      </c>
      <c r="E14">
        <v>4600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9860F-4098-472B-A3F9-3F77EBB6E41A}">
  <sheetPr codeName="Sheet5"/>
  <dimension ref="F4:G9"/>
  <sheetViews>
    <sheetView workbookViewId="0">
      <selection activeCell="C16" sqref="C16"/>
    </sheetView>
  </sheetViews>
  <sheetFormatPr defaultRowHeight="15" x14ac:dyDescent="0.25"/>
  <cols>
    <col min="5" max="5" width="12.5703125" bestFit="1" customWidth="1"/>
    <col min="7" max="7" width="15" customWidth="1"/>
  </cols>
  <sheetData>
    <row r="4" spans="6:7" x14ac:dyDescent="0.25">
      <c r="F4" s="19" t="s">
        <v>55</v>
      </c>
      <c r="G4" s="20" t="s">
        <v>56</v>
      </c>
    </row>
    <row r="5" spans="6:7" x14ac:dyDescent="0.25">
      <c r="F5" s="21" t="s">
        <v>50</v>
      </c>
      <c r="G5" s="22">
        <v>0.15503875968992201</v>
      </c>
    </row>
    <row r="6" spans="6:7" x14ac:dyDescent="0.25">
      <c r="F6" s="23" t="s">
        <v>51</v>
      </c>
      <c r="G6" s="24">
        <v>0.27131782945736399</v>
      </c>
    </row>
    <row r="7" spans="6:7" x14ac:dyDescent="0.25">
      <c r="F7" s="21" t="s">
        <v>52</v>
      </c>
      <c r="G7" s="22">
        <v>0.170542635658915</v>
      </c>
    </row>
    <row r="8" spans="6:7" x14ac:dyDescent="0.25">
      <c r="F8" s="23" t="s">
        <v>53</v>
      </c>
      <c r="G8" s="24">
        <v>0.28682170542635699</v>
      </c>
    </row>
    <row r="9" spans="6:7" x14ac:dyDescent="0.25">
      <c r="F9" s="18" t="s">
        <v>54</v>
      </c>
      <c r="G9" s="25">
        <v>0.12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AD7C0-05B4-470C-9313-AB3939587535}">
  <sheetPr codeName="Sheet6"/>
  <dimension ref="C3:C8"/>
  <sheetViews>
    <sheetView workbookViewId="0">
      <selection activeCell="C9" sqref="C9"/>
    </sheetView>
  </sheetViews>
  <sheetFormatPr defaultRowHeight="15" x14ac:dyDescent="0.25"/>
  <cols>
    <col min="3" max="3" width="24.7109375" bestFit="1" customWidth="1"/>
  </cols>
  <sheetData>
    <row r="3" spans="3:3" x14ac:dyDescent="0.25">
      <c r="C3" t="s">
        <v>339</v>
      </c>
    </row>
    <row r="4" spans="3:3" x14ac:dyDescent="0.25">
      <c r="C4" t="s">
        <v>73</v>
      </c>
    </row>
    <row r="5" spans="3:3" x14ac:dyDescent="0.25">
      <c r="C5" t="s">
        <v>47</v>
      </c>
    </row>
    <row r="6" spans="3:3" x14ac:dyDescent="0.25">
      <c r="C6" t="s">
        <v>48</v>
      </c>
    </row>
    <row r="7" spans="3:3" x14ac:dyDescent="0.25">
      <c r="C7" t="s">
        <v>49</v>
      </c>
    </row>
    <row r="8" spans="3:3" x14ac:dyDescent="0.25">
      <c r="C8" t="s">
        <v>340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D32ED-1E14-4809-8EBC-ADB4C5C8F768}">
  <sheetPr codeName="Sheet8"/>
  <dimension ref="A2:S103"/>
  <sheetViews>
    <sheetView topLeftCell="E1" workbookViewId="0">
      <selection activeCell="S25" sqref="S25"/>
    </sheetView>
  </sheetViews>
  <sheetFormatPr defaultRowHeight="15" x14ac:dyDescent="0.25"/>
  <cols>
    <col min="1" max="1" width="15.5703125" style="10" bestFit="1" customWidth="1"/>
    <col min="2" max="4" width="9.140625" style="10"/>
    <col min="5" max="5" width="21.5703125" style="10" bestFit="1" customWidth="1"/>
    <col min="6" max="8" width="21.5703125" style="10" customWidth="1"/>
    <col min="9" max="11" width="9.140625" style="10"/>
    <col min="12" max="12" width="15" bestFit="1" customWidth="1"/>
    <col min="13" max="15" width="9.140625" style="10"/>
    <col min="16" max="16" width="10.42578125" style="10" bestFit="1" customWidth="1"/>
    <col min="17" max="18" width="9.140625" style="10"/>
    <col min="19" max="19" width="13.28515625" style="10" customWidth="1"/>
    <col min="20" max="16384" width="9.140625" style="10"/>
  </cols>
  <sheetData>
    <row r="2" spans="1:19" x14ac:dyDescent="0.25">
      <c r="C2" s="10">
        <v>1</v>
      </c>
    </row>
    <row r="3" spans="1:19" x14ac:dyDescent="0.25">
      <c r="A3" s="12" t="s">
        <v>338</v>
      </c>
      <c r="E3" s="12" t="s">
        <v>336</v>
      </c>
      <c r="F3" s="12" t="s">
        <v>359</v>
      </c>
      <c r="G3" s="12"/>
      <c r="H3" s="12"/>
      <c r="L3" s="5" t="s">
        <v>337</v>
      </c>
      <c r="M3" s="10" t="s">
        <v>366</v>
      </c>
      <c r="N3" s="10" t="s">
        <v>57</v>
      </c>
      <c r="O3" s="10" t="s">
        <v>367</v>
      </c>
    </row>
    <row r="4" spans="1:19" x14ac:dyDescent="0.25">
      <c r="A4" s="10">
        <v>1327</v>
      </c>
      <c r="E4" s="10" t="s">
        <v>242</v>
      </c>
      <c r="F4" s="10" t="str" cm="1">
        <f t="array" ref="F4:H4">_xlfn.TEXTSPLIT(E4,"/")</f>
        <v>agrtc</v>
      </c>
      <c r="G4" s="10" t="str">
        <v>403\XYZ</v>
      </c>
      <c r="H4" s="10" t="str">
        <v>815</v>
      </c>
      <c r="L4" t="s">
        <v>151</v>
      </c>
      <c r="M4" s="10">
        <f>DAY(L4)</f>
        <v>9</v>
      </c>
      <c r="N4" s="10">
        <f>MONTH(L4)</f>
        <v>4</v>
      </c>
      <c r="O4" s="10">
        <f>YEAR(L4)</f>
        <v>2021</v>
      </c>
      <c r="P4" s="15">
        <f>DATE(O4,M4,N4)</f>
        <v>44443</v>
      </c>
    </row>
    <row r="5" spans="1:19" x14ac:dyDescent="0.25">
      <c r="A5" s="10">
        <v>18538</v>
      </c>
      <c r="E5" s="10" t="s">
        <v>243</v>
      </c>
      <c r="F5" s="10" t="str" cm="1">
        <f t="array" ref="F5:H5">_xlfn.TEXTSPLIT(E5,"/")</f>
        <v>grtcd</v>
      </c>
      <c r="G5" s="10" t="str">
        <v>906\HMSNXY</v>
      </c>
      <c r="H5" s="10" t="str">
        <v>847</v>
      </c>
      <c r="L5" t="s">
        <v>152</v>
      </c>
      <c r="M5" s="10" t="str">
        <f>_xlfn.TEXTBEFORE(L5,"/")</f>
        <v>9</v>
      </c>
      <c r="N5" s="10" t="str">
        <f>_xlfn.TEXTBEFORE(S5,"/")</f>
        <v>17</v>
      </c>
      <c r="O5" s="10" t="str">
        <f>_xlfn.TEXTAFTER(L5,"/",2)</f>
        <v>2022</v>
      </c>
      <c r="P5" s="15">
        <f>DATE(O5,M5,N5)</f>
        <v>44821</v>
      </c>
      <c r="S5" s="10" t="str">
        <f>_xlfn.TEXTAFTER(L5,"/")</f>
        <v>17/2022</v>
      </c>
    </row>
    <row r="6" spans="1:19" x14ac:dyDescent="0.25">
      <c r="A6" s="10">
        <v>14416</v>
      </c>
      <c r="E6" s="10" t="s">
        <v>244</v>
      </c>
      <c r="F6" s="10" t="str" cm="1">
        <f t="array" ref="F6:H6">_xlfn.TEXTSPLIT(E6,"/")</f>
        <v>cde</v>
      </c>
      <c r="G6" s="10" t="str">
        <v>903\VHMSNX</v>
      </c>
      <c r="H6" s="10" t="str">
        <v>233</v>
      </c>
      <c r="L6" t="s">
        <v>153</v>
      </c>
      <c r="P6" s="15"/>
    </row>
    <row r="7" spans="1:19" x14ac:dyDescent="0.25">
      <c r="A7" s="10">
        <v>15418</v>
      </c>
      <c r="E7" s="10" t="s">
        <v>245</v>
      </c>
      <c r="F7" s="10" t="str" cm="1">
        <f t="array" ref="F7:H7">_xlfn.TEXTSPLIT(E7,"/")</f>
        <v>agrtc</v>
      </c>
      <c r="G7" s="10" t="str">
        <v>535\XYZ</v>
      </c>
      <c r="H7" s="10" t="str">
        <v>929</v>
      </c>
      <c r="L7" t="s">
        <v>154</v>
      </c>
      <c r="P7" s="15"/>
    </row>
    <row r="8" spans="1:19" x14ac:dyDescent="0.25">
      <c r="A8" s="10">
        <v>18459</v>
      </c>
      <c r="B8" s="10">
        <f>SUM(A5:A18)</f>
        <v>185114</v>
      </c>
      <c r="E8" s="10" t="s">
        <v>246</v>
      </c>
      <c r="F8" s="10" t="str" cm="1">
        <f t="array" ref="F8:H8">_xlfn.TEXTSPLIT(E8,"/")</f>
        <v>grtcd</v>
      </c>
      <c r="G8" s="10" t="str">
        <v>140\HMSNXY</v>
      </c>
      <c r="H8" s="10" t="str">
        <v>464</v>
      </c>
      <c r="L8" t="s">
        <v>155</v>
      </c>
      <c r="P8" s="15"/>
    </row>
    <row r="9" spans="1:19" x14ac:dyDescent="0.25">
      <c r="A9" s="10">
        <v>8561</v>
      </c>
      <c r="E9" s="10" t="s">
        <v>247</v>
      </c>
      <c r="F9" s="10" t="str" cm="1">
        <f t="array" ref="F9:H9">_xlfn.TEXTSPLIT(E9,"/")</f>
        <v>cde</v>
      </c>
      <c r="G9" s="10" t="str">
        <v>277\VHMSNX</v>
      </c>
      <c r="H9" s="10" t="str">
        <v>270</v>
      </c>
      <c r="L9" t="s">
        <v>156</v>
      </c>
      <c r="M9" s="10" t="e" vm="1">
        <f>DAY(L9)</f>
        <v>#VALUE!</v>
      </c>
      <c r="N9" s="10" t="e" vm="2">
        <f>MONTH(L9)</f>
        <v>#VALUE!</v>
      </c>
      <c r="O9" s="10" t="e" vm="3">
        <f>YEAR(L9)</f>
        <v>#VALUE!</v>
      </c>
      <c r="P9" s="15" t="e" vm="4">
        <f>DATE(O9,M9,N9)</f>
        <v>#VALUE!</v>
      </c>
    </row>
    <row r="10" spans="1:19" x14ac:dyDescent="0.25">
      <c r="A10" s="10">
        <v>18610</v>
      </c>
      <c r="E10" s="10" t="s">
        <v>248</v>
      </c>
      <c r="F10" s="10" t="str" cm="1">
        <f t="array" ref="F10:H10">_xlfn.TEXTSPLIT(E10,"/")</f>
        <v>agrtc</v>
      </c>
      <c r="G10" s="10" t="str">
        <v>227\XYZ</v>
      </c>
      <c r="H10" s="10" t="str">
        <v>784</v>
      </c>
      <c r="L10" t="s">
        <v>157</v>
      </c>
      <c r="M10" s="10" t="e" vm="5">
        <f t="shared" ref="M10:M15" si="0">DAY(L10)</f>
        <v>#VALUE!</v>
      </c>
      <c r="N10" s="10" t="e" vm="6">
        <f t="shared" ref="N10:N15" si="1">MONTH(L10)</f>
        <v>#VALUE!</v>
      </c>
      <c r="O10" s="10" t="e" vm="7">
        <f t="shared" ref="O10:O15" si="2">YEAR(L10)</f>
        <v>#VALUE!</v>
      </c>
      <c r="P10" s="15" t="e" vm="4">
        <f t="shared" ref="P10:P15" si="3">DATE(O10,M10,N10)</f>
        <v>#VALUE!</v>
      </c>
    </row>
    <row r="11" spans="1:19" x14ac:dyDescent="0.25">
      <c r="A11" s="10">
        <v>5047</v>
      </c>
      <c r="E11" s="10" t="s">
        <v>249</v>
      </c>
      <c r="F11" s="10" t="str" cm="1">
        <f t="array" ref="F11:H11">_xlfn.TEXTSPLIT(E11,"/")</f>
        <v>grtcd</v>
      </c>
      <c r="G11" s="10" t="str">
        <v>296\HMSNXY</v>
      </c>
      <c r="H11" s="10" t="str">
        <v>818</v>
      </c>
      <c r="L11" t="s">
        <v>158</v>
      </c>
      <c r="M11" s="10" t="e" vm="8">
        <f t="shared" si="0"/>
        <v>#VALUE!</v>
      </c>
      <c r="N11" s="10" t="e" vm="9">
        <f t="shared" si="1"/>
        <v>#VALUE!</v>
      </c>
      <c r="O11" s="10" t="e" vm="10">
        <f t="shared" si="2"/>
        <v>#VALUE!</v>
      </c>
      <c r="P11" s="15" t="e" vm="4">
        <f t="shared" si="3"/>
        <v>#VALUE!</v>
      </c>
    </row>
    <row r="12" spans="1:19" x14ac:dyDescent="0.25">
      <c r="A12" s="10">
        <v>5048</v>
      </c>
      <c r="E12" s="10" t="s">
        <v>250</v>
      </c>
      <c r="F12" s="10" t="str" cm="1">
        <f t="array" ref="F12:H12">_xlfn.TEXTSPLIT(E12,"/")</f>
        <v>cde</v>
      </c>
      <c r="G12" s="10" t="str">
        <v>917\VHMSNX</v>
      </c>
      <c r="H12" s="10" t="str">
        <v>875</v>
      </c>
      <c r="L12" t="s">
        <v>159</v>
      </c>
      <c r="M12" s="10">
        <f t="shared" si="0"/>
        <v>2</v>
      </c>
      <c r="N12" s="10">
        <f t="shared" si="1"/>
        <v>11</v>
      </c>
      <c r="O12" s="10">
        <f t="shared" si="2"/>
        <v>2021</v>
      </c>
      <c r="P12" s="15">
        <f t="shared" si="3"/>
        <v>44238</v>
      </c>
    </row>
    <row r="13" spans="1:19" x14ac:dyDescent="0.25">
      <c r="A13" s="10">
        <v>4567</v>
      </c>
      <c r="E13" s="10" t="s">
        <v>251</v>
      </c>
      <c r="F13" s="10" t="str" cm="1">
        <f t="array" ref="F13:H13">_xlfn.TEXTSPLIT(E13,"/")</f>
        <v>agrtc</v>
      </c>
      <c r="G13" s="10" t="str">
        <v>976\XYZ</v>
      </c>
      <c r="H13" s="10" t="str">
        <v>186</v>
      </c>
      <c r="L13" t="s">
        <v>160</v>
      </c>
      <c r="M13" s="10" t="e" vm="11">
        <f t="shared" si="0"/>
        <v>#VALUE!</v>
      </c>
      <c r="N13" s="10" t="e" vm="12">
        <f t="shared" si="1"/>
        <v>#VALUE!</v>
      </c>
      <c r="O13" s="10" t="e" vm="13">
        <f t="shared" si="2"/>
        <v>#VALUE!</v>
      </c>
      <c r="P13" s="15" t="e" vm="4">
        <f t="shared" si="3"/>
        <v>#VALUE!</v>
      </c>
    </row>
    <row r="14" spans="1:19" x14ac:dyDescent="0.25">
      <c r="A14" s="10">
        <v>13412</v>
      </c>
      <c r="E14" s="10" t="s">
        <v>368</v>
      </c>
      <c r="F14" s="10" t="str" cm="1">
        <f t="array" ref="F14:I14">_xlfn.TEXTSPLIT(E14,"/")</f>
        <v>grtcd</v>
      </c>
      <c r="G14" s="10" t="str">
        <v>574</v>
      </c>
      <c r="H14" s="10" t="str">
        <v>HMSNXY</v>
      </c>
      <c r="I14" s="10" t="str">
        <v>244</v>
      </c>
      <c r="L14" t="s">
        <v>161</v>
      </c>
      <c r="M14" s="10">
        <f t="shared" si="0"/>
        <v>7</v>
      </c>
      <c r="N14" s="10">
        <f t="shared" si="1"/>
        <v>2</v>
      </c>
      <c r="O14" s="10">
        <f t="shared" si="2"/>
        <v>2022</v>
      </c>
      <c r="P14" s="15">
        <f t="shared" si="3"/>
        <v>44744</v>
      </c>
    </row>
    <row r="15" spans="1:19" x14ac:dyDescent="0.25">
      <c r="A15" s="10">
        <v>18548</v>
      </c>
      <c r="E15" s="10" t="s">
        <v>369</v>
      </c>
      <c r="F15" s="10" t="str" cm="1">
        <f t="array" ref="F15:I15">_xlfn.TEXTSPLIT(E15,"/")</f>
        <v>cde</v>
      </c>
      <c r="G15" s="10" t="str">
        <v>294</v>
      </c>
      <c r="H15" s="10" t="str">
        <v>VHMSNX</v>
      </c>
      <c r="I15" s="10" t="str">
        <v>840</v>
      </c>
      <c r="L15" t="s">
        <v>162</v>
      </c>
      <c r="M15" s="10" t="e" vm="14">
        <f t="shared" si="0"/>
        <v>#VALUE!</v>
      </c>
      <c r="N15" s="10" t="e" vm="15">
        <f t="shared" si="1"/>
        <v>#VALUE!</v>
      </c>
      <c r="O15" s="10" t="e" vm="16">
        <f t="shared" si="2"/>
        <v>#VALUE!</v>
      </c>
      <c r="P15" s="15" t="e" vm="4">
        <f t="shared" si="3"/>
        <v>#VALUE!</v>
      </c>
    </row>
    <row r="16" spans="1:19" x14ac:dyDescent="0.25">
      <c r="A16" s="10">
        <v>16412</v>
      </c>
      <c r="E16" s="10" t="s">
        <v>370</v>
      </c>
      <c r="F16" s="10" t="str" cm="1">
        <f t="array" ref="F16:I16">_xlfn.TEXTSPLIT(E16,"/")</f>
        <v>agrtc</v>
      </c>
      <c r="G16" s="10" t="str">
        <v>653</v>
      </c>
      <c r="H16" s="10" t="str">
        <v>XYZ</v>
      </c>
      <c r="I16" s="10" t="str">
        <v>426</v>
      </c>
      <c r="L16" t="s">
        <v>163</v>
      </c>
      <c r="P16" s="15"/>
    </row>
    <row r="17" spans="1:19" x14ac:dyDescent="0.25">
      <c r="A17" s="10">
        <v>9323</v>
      </c>
      <c r="E17" s="10" t="s">
        <v>371</v>
      </c>
      <c r="F17" s="10" t="str" cm="1">
        <f t="array" ref="F17:I17">_xlfn.TEXTSPLIT(E17,"/")</f>
        <v>grtcd</v>
      </c>
      <c r="G17" s="10" t="str">
        <v>152</v>
      </c>
      <c r="H17" s="10" t="str">
        <v>HMSNXY</v>
      </c>
      <c r="I17" s="10" t="str">
        <v>751</v>
      </c>
      <c r="L17" t="s">
        <v>164</v>
      </c>
      <c r="P17" s="15"/>
    </row>
    <row r="18" spans="1:19" x14ac:dyDescent="0.25">
      <c r="A18" s="10">
        <v>18755</v>
      </c>
      <c r="E18" s="10" t="s">
        <v>372</v>
      </c>
      <c r="F18" s="10" t="str" cm="1">
        <f t="array" ref="F18:I18">_xlfn.TEXTSPLIT(E18,"/")</f>
        <v>cde</v>
      </c>
      <c r="G18" s="10" t="str">
        <v>395</v>
      </c>
      <c r="H18" s="10" t="str">
        <v>VHMSNX</v>
      </c>
      <c r="I18" s="10" t="str">
        <v>365</v>
      </c>
      <c r="L18" t="s">
        <v>165</v>
      </c>
      <c r="P18" s="15"/>
    </row>
    <row r="19" spans="1:19" x14ac:dyDescent="0.25">
      <c r="A19" s="10">
        <v>9235</v>
      </c>
      <c r="E19" s="10" t="s">
        <v>373</v>
      </c>
      <c r="F19" s="10" t="s">
        <v>361</v>
      </c>
      <c r="L19" t="s">
        <v>166</v>
      </c>
    </row>
    <row r="20" spans="1:19" x14ac:dyDescent="0.25">
      <c r="A20" s="10">
        <v>9244</v>
      </c>
      <c r="E20" s="10" t="s">
        <v>252</v>
      </c>
      <c r="F20" s="10" t="s">
        <v>360</v>
      </c>
      <c r="L20" t="s">
        <v>167</v>
      </c>
    </row>
    <row r="21" spans="1:19" x14ac:dyDescent="0.25">
      <c r="A21" s="10">
        <v>18633</v>
      </c>
      <c r="E21" s="10" t="s">
        <v>253</v>
      </c>
      <c r="L21" t="s">
        <v>168</v>
      </c>
    </row>
    <row r="22" spans="1:19" x14ac:dyDescent="0.25">
      <c r="A22" s="10">
        <v>18786</v>
      </c>
      <c r="E22" s="10" t="s">
        <v>254</v>
      </c>
      <c r="L22" t="s">
        <v>169</v>
      </c>
      <c r="S22" s="10">
        <v>564</v>
      </c>
    </row>
    <row r="23" spans="1:19" x14ac:dyDescent="0.25">
      <c r="A23" s="10">
        <v>18558</v>
      </c>
      <c r="E23" s="10" t="s">
        <v>255</v>
      </c>
      <c r="G23" s="10" t="s">
        <v>362</v>
      </c>
      <c r="L23" t="s">
        <v>170</v>
      </c>
      <c r="S23" s="10">
        <v>5468</v>
      </c>
    </row>
    <row r="24" spans="1:19" x14ac:dyDescent="0.25">
      <c r="A24" s="10">
        <v>18754</v>
      </c>
      <c r="E24" s="10" t="s">
        <v>256</v>
      </c>
      <c r="G24" s="10" t="s">
        <v>363</v>
      </c>
      <c r="L24" t="s">
        <v>171</v>
      </c>
      <c r="S24" s="16" t="s">
        <v>374</v>
      </c>
    </row>
    <row r="25" spans="1:19" x14ac:dyDescent="0.25">
      <c r="A25" s="10">
        <v>18758</v>
      </c>
      <c r="E25" s="10" t="s">
        <v>257</v>
      </c>
      <c r="G25" s="10" t="s">
        <v>364</v>
      </c>
      <c r="L25" t="s">
        <v>172</v>
      </c>
    </row>
    <row r="26" spans="1:19" x14ac:dyDescent="0.25">
      <c r="A26" s="10">
        <v>9102</v>
      </c>
      <c r="E26" s="10" t="s">
        <v>258</v>
      </c>
      <c r="G26" s="10" t="s">
        <v>365</v>
      </c>
      <c r="L26" t="s">
        <v>173</v>
      </c>
    </row>
    <row r="27" spans="1:19" x14ac:dyDescent="0.25">
      <c r="A27" s="10">
        <v>18756</v>
      </c>
      <c r="E27" s="10" t="s">
        <v>259</v>
      </c>
      <c r="L27" t="s">
        <v>174</v>
      </c>
    </row>
    <row r="28" spans="1:19" x14ac:dyDescent="0.25">
      <c r="A28" s="10">
        <v>18622</v>
      </c>
      <c r="E28" s="10" t="s">
        <v>260</v>
      </c>
      <c r="L28" t="s">
        <v>175</v>
      </c>
    </row>
    <row r="29" spans="1:19" x14ac:dyDescent="0.25">
      <c r="A29" s="10">
        <v>18717</v>
      </c>
      <c r="E29" s="10" t="s">
        <v>261</v>
      </c>
      <c r="L29" t="s">
        <v>176</v>
      </c>
    </row>
    <row r="30" spans="1:19" x14ac:dyDescent="0.25">
      <c r="A30" s="10" t="s">
        <v>149</v>
      </c>
      <c r="E30" s="10" t="s">
        <v>262</v>
      </c>
      <c r="L30" t="s">
        <v>177</v>
      </c>
    </row>
    <row r="31" spans="1:19" x14ac:dyDescent="0.25">
      <c r="A31" s="10" t="s">
        <v>148</v>
      </c>
      <c r="E31" s="10" t="s">
        <v>263</v>
      </c>
      <c r="L31" t="s">
        <v>178</v>
      </c>
    </row>
    <row r="32" spans="1:19" x14ac:dyDescent="0.25">
      <c r="A32" s="10" t="s">
        <v>147</v>
      </c>
      <c r="E32" s="10" t="s">
        <v>264</v>
      </c>
      <c r="L32" t="s">
        <v>179</v>
      </c>
    </row>
    <row r="33" spans="1:12" x14ac:dyDescent="0.25">
      <c r="A33" s="10" t="s">
        <v>146</v>
      </c>
      <c r="E33" s="10" t="s">
        <v>265</v>
      </c>
      <c r="L33" t="s">
        <v>180</v>
      </c>
    </row>
    <row r="34" spans="1:12" x14ac:dyDescent="0.25">
      <c r="A34" s="10" t="s">
        <v>145</v>
      </c>
      <c r="E34" s="10" t="s">
        <v>266</v>
      </c>
      <c r="L34" t="s">
        <v>181</v>
      </c>
    </row>
    <row r="35" spans="1:12" x14ac:dyDescent="0.25">
      <c r="A35" s="10" t="s">
        <v>144</v>
      </c>
      <c r="E35" s="10" t="s">
        <v>267</v>
      </c>
      <c r="L35" t="s">
        <v>182</v>
      </c>
    </row>
    <row r="36" spans="1:12" x14ac:dyDescent="0.25">
      <c r="A36" s="10" t="s">
        <v>143</v>
      </c>
      <c r="E36" s="10" t="s">
        <v>268</v>
      </c>
      <c r="L36" t="s">
        <v>183</v>
      </c>
    </row>
    <row r="37" spans="1:12" x14ac:dyDescent="0.25">
      <c r="A37" s="10" t="s">
        <v>142</v>
      </c>
      <c r="E37" s="10" t="s">
        <v>269</v>
      </c>
      <c r="L37" t="s">
        <v>184</v>
      </c>
    </row>
    <row r="38" spans="1:12" x14ac:dyDescent="0.25">
      <c r="A38" s="10" t="s">
        <v>141</v>
      </c>
      <c r="E38" s="10" t="s">
        <v>270</v>
      </c>
      <c r="L38" t="s">
        <v>185</v>
      </c>
    </row>
    <row r="39" spans="1:12" x14ac:dyDescent="0.25">
      <c r="A39" s="10" t="s">
        <v>140</v>
      </c>
      <c r="E39" s="10" t="s">
        <v>271</v>
      </c>
      <c r="L39" t="s">
        <v>186</v>
      </c>
    </row>
    <row r="40" spans="1:12" x14ac:dyDescent="0.25">
      <c r="A40" s="10" t="s">
        <v>139</v>
      </c>
      <c r="E40" s="10" t="s">
        <v>272</v>
      </c>
      <c r="L40" t="s">
        <v>187</v>
      </c>
    </row>
    <row r="41" spans="1:12" x14ac:dyDescent="0.25">
      <c r="A41" s="10" t="s">
        <v>138</v>
      </c>
      <c r="E41" s="10" t="s">
        <v>273</v>
      </c>
      <c r="L41" t="s">
        <v>188</v>
      </c>
    </row>
    <row r="42" spans="1:12" x14ac:dyDescent="0.25">
      <c r="A42" s="10" t="s">
        <v>137</v>
      </c>
      <c r="E42" s="10" t="s">
        <v>274</v>
      </c>
      <c r="L42" t="s">
        <v>189</v>
      </c>
    </row>
    <row r="43" spans="1:12" x14ac:dyDescent="0.25">
      <c r="A43" s="10" t="s">
        <v>136</v>
      </c>
      <c r="E43" s="10" t="s">
        <v>275</v>
      </c>
      <c r="L43" t="s">
        <v>190</v>
      </c>
    </row>
    <row r="44" spans="1:12" x14ac:dyDescent="0.25">
      <c r="A44" s="10" t="s">
        <v>135</v>
      </c>
      <c r="E44" s="10" t="s">
        <v>276</v>
      </c>
      <c r="L44" t="s">
        <v>191</v>
      </c>
    </row>
    <row r="45" spans="1:12" x14ac:dyDescent="0.25">
      <c r="A45" s="10" t="s">
        <v>134</v>
      </c>
      <c r="E45" s="10" t="s">
        <v>277</v>
      </c>
      <c r="L45" t="s">
        <v>192</v>
      </c>
    </row>
    <row r="46" spans="1:12" x14ac:dyDescent="0.25">
      <c r="A46" s="10" t="s">
        <v>133</v>
      </c>
      <c r="E46" s="10" t="s">
        <v>278</v>
      </c>
      <c r="L46" t="s">
        <v>193</v>
      </c>
    </row>
    <row r="47" spans="1:12" x14ac:dyDescent="0.25">
      <c r="A47" s="10" t="s">
        <v>132</v>
      </c>
      <c r="E47" s="10" t="s">
        <v>279</v>
      </c>
      <c r="L47" t="s">
        <v>194</v>
      </c>
    </row>
    <row r="48" spans="1:12" x14ac:dyDescent="0.25">
      <c r="A48" s="10" t="s">
        <v>131</v>
      </c>
      <c r="E48" s="10" t="s">
        <v>280</v>
      </c>
      <c r="L48" t="s">
        <v>195</v>
      </c>
    </row>
    <row r="49" spans="1:12" x14ac:dyDescent="0.25">
      <c r="A49" s="10" t="s">
        <v>130</v>
      </c>
      <c r="E49" s="10" t="s">
        <v>281</v>
      </c>
      <c r="L49" t="s">
        <v>196</v>
      </c>
    </row>
    <row r="50" spans="1:12" x14ac:dyDescent="0.25">
      <c r="A50" s="10" t="s">
        <v>129</v>
      </c>
      <c r="E50" s="10" t="s">
        <v>282</v>
      </c>
      <c r="L50" t="s">
        <v>197</v>
      </c>
    </row>
    <row r="51" spans="1:12" x14ac:dyDescent="0.25">
      <c r="A51" s="10" t="s">
        <v>128</v>
      </c>
      <c r="E51" s="10" t="s">
        <v>283</v>
      </c>
      <c r="L51" t="s">
        <v>198</v>
      </c>
    </row>
    <row r="52" spans="1:12" x14ac:dyDescent="0.25">
      <c r="A52" s="10" t="s">
        <v>127</v>
      </c>
      <c r="E52" s="10" t="s">
        <v>284</v>
      </c>
      <c r="L52" t="s">
        <v>199</v>
      </c>
    </row>
    <row r="53" spans="1:12" x14ac:dyDescent="0.25">
      <c r="A53" s="10" t="s">
        <v>126</v>
      </c>
      <c r="E53" s="10" t="s">
        <v>285</v>
      </c>
      <c r="L53" t="s">
        <v>200</v>
      </c>
    </row>
    <row r="54" spans="1:12" x14ac:dyDescent="0.25">
      <c r="A54" s="10" t="s">
        <v>125</v>
      </c>
      <c r="E54" s="10" t="s">
        <v>286</v>
      </c>
      <c r="L54" t="s">
        <v>201</v>
      </c>
    </row>
    <row r="55" spans="1:12" x14ac:dyDescent="0.25">
      <c r="A55" s="10" t="s">
        <v>124</v>
      </c>
      <c r="E55" s="10" t="s">
        <v>287</v>
      </c>
      <c r="L55" t="s">
        <v>202</v>
      </c>
    </row>
    <row r="56" spans="1:12" x14ac:dyDescent="0.25">
      <c r="A56" s="10" t="s">
        <v>123</v>
      </c>
      <c r="E56" s="10" t="s">
        <v>288</v>
      </c>
      <c r="L56" t="s">
        <v>203</v>
      </c>
    </row>
    <row r="57" spans="1:12" x14ac:dyDescent="0.25">
      <c r="A57" s="10" t="s">
        <v>122</v>
      </c>
      <c r="E57" s="10" t="s">
        <v>289</v>
      </c>
      <c r="L57" t="s">
        <v>204</v>
      </c>
    </row>
    <row r="58" spans="1:12" x14ac:dyDescent="0.25">
      <c r="A58" s="10" t="s">
        <v>121</v>
      </c>
      <c r="E58" s="10" t="s">
        <v>290</v>
      </c>
      <c r="L58" t="s">
        <v>205</v>
      </c>
    </row>
    <row r="59" spans="1:12" x14ac:dyDescent="0.25">
      <c r="A59" s="10" t="s">
        <v>120</v>
      </c>
      <c r="E59" s="10" t="s">
        <v>291</v>
      </c>
      <c r="L59" t="s">
        <v>206</v>
      </c>
    </row>
    <row r="60" spans="1:12" x14ac:dyDescent="0.25">
      <c r="A60" s="10" t="s">
        <v>119</v>
      </c>
      <c r="E60" s="10" t="s">
        <v>292</v>
      </c>
      <c r="L60" t="s">
        <v>207</v>
      </c>
    </row>
    <row r="61" spans="1:12" x14ac:dyDescent="0.25">
      <c r="A61" s="10" t="s">
        <v>118</v>
      </c>
      <c r="E61" s="10" t="s">
        <v>293</v>
      </c>
      <c r="L61" t="s">
        <v>208</v>
      </c>
    </row>
    <row r="62" spans="1:12" x14ac:dyDescent="0.25">
      <c r="A62" s="10" t="s">
        <v>117</v>
      </c>
      <c r="E62" s="10" t="s">
        <v>294</v>
      </c>
      <c r="L62" t="s">
        <v>209</v>
      </c>
    </row>
    <row r="63" spans="1:12" x14ac:dyDescent="0.25">
      <c r="A63" s="10" t="s">
        <v>116</v>
      </c>
      <c r="E63" s="10" t="s">
        <v>295</v>
      </c>
      <c r="L63" t="s">
        <v>210</v>
      </c>
    </row>
    <row r="64" spans="1:12" x14ac:dyDescent="0.25">
      <c r="A64" s="10" t="s">
        <v>115</v>
      </c>
      <c r="E64" s="10" t="s">
        <v>296</v>
      </c>
      <c r="L64" t="s">
        <v>211</v>
      </c>
    </row>
    <row r="65" spans="1:12" x14ac:dyDescent="0.25">
      <c r="A65" s="10" t="s">
        <v>114</v>
      </c>
      <c r="E65" s="10" t="s">
        <v>297</v>
      </c>
      <c r="L65" t="s">
        <v>212</v>
      </c>
    </row>
    <row r="66" spans="1:12" x14ac:dyDescent="0.25">
      <c r="A66" s="10" t="s">
        <v>113</v>
      </c>
      <c r="E66" s="10" t="s">
        <v>298</v>
      </c>
      <c r="L66" t="s">
        <v>213</v>
      </c>
    </row>
    <row r="67" spans="1:12" x14ac:dyDescent="0.25">
      <c r="A67" s="10" t="s">
        <v>112</v>
      </c>
      <c r="E67" s="10" t="s">
        <v>299</v>
      </c>
      <c r="L67" t="s">
        <v>184</v>
      </c>
    </row>
    <row r="68" spans="1:12" x14ac:dyDescent="0.25">
      <c r="A68" s="10" t="s">
        <v>111</v>
      </c>
      <c r="E68" s="10" t="s">
        <v>300</v>
      </c>
      <c r="L68" t="s">
        <v>214</v>
      </c>
    </row>
    <row r="69" spans="1:12" x14ac:dyDescent="0.25">
      <c r="A69" s="10" t="s">
        <v>110</v>
      </c>
      <c r="E69" s="10" t="s">
        <v>301</v>
      </c>
      <c r="L69" t="s">
        <v>215</v>
      </c>
    </row>
    <row r="70" spans="1:12" x14ac:dyDescent="0.25">
      <c r="A70" s="10" t="s">
        <v>109</v>
      </c>
      <c r="E70" s="10" t="s">
        <v>302</v>
      </c>
      <c r="L70" t="s">
        <v>216</v>
      </c>
    </row>
    <row r="71" spans="1:12" x14ac:dyDescent="0.25">
      <c r="A71" s="10" t="s">
        <v>108</v>
      </c>
      <c r="E71" s="10" t="s">
        <v>303</v>
      </c>
      <c r="L71" t="s">
        <v>156</v>
      </c>
    </row>
    <row r="72" spans="1:12" x14ac:dyDescent="0.25">
      <c r="A72" s="10" t="s">
        <v>107</v>
      </c>
      <c r="E72" s="10" t="s">
        <v>304</v>
      </c>
      <c r="L72" t="s">
        <v>217</v>
      </c>
    </row>
    <row r="73" spans="1:12" x14ac:dyDescent="0.25">
      <c r="A73" s="10" t="s">
        <v>106</v>
      </c>
      <c r="E73" s="10" t="s">
        <v>305</v>
      </c>
      <c r="L73" t="s">
        <v>218</v>
      </c>
    </row>
    <row r="74" spans="1:12" x14ac:dyDescent="0.25">
      <c r="A74" s="10" t="s">
        <v>105</v>
      </c>
      <c r="E74" s="10" t="s">
        <v>306</v>
      </c>
      <c r="L74" t="s">
        <v>219</v>
      </c>
    </row>
    <row r="75" spans="1:12" x14ac:dyDescent="0.25">
      <c r="A75" s="10" t="s">
        <v>104</v>
      </c>
      <c r="E75" s="10" t="s">
        <v>307</v>
      </c>
      <c r="L75" t="s">
        <v>220</v>
      </c>
    </row>
    <row r="76" spans="1:12" x14ac:dyDescent="0.25">
      <c r="A76" s="10" t="s">
        <v>103</v>
      </c>
      <c r="E76" s="10" t="s">
        <v>308</v>
      </c>
      <c r="L76" t="s">
        <v>221</v>
      </c>
    </row>
    <row r="77" spans="1:12" x14ac:dyDescent="0.25">
      <c r="A77" s="10" t="s">
        <v>102</v>
      </c>
      <c r="E77" s="10" t="s">
        <v>309</v>
      </c>
      <c r="L77" t="s">
        <v>170</v>
      </c>
    </row>
    <row r="78" spans="1:12" x14ac:dyDescent="0.25">
      <c r="A78" s="10" t="s">
        <v>101</v>
      </c>
      <c r="E78" s="10" t="s">
        <v>310</v>
      </c>
      <c r="L78" t="s">
        <v>222</v>
      </c>
    </row>
    <row r="79" spans="1:12" x14ac:dyDescent="0.25">
      <c r="A79" s="10" t="s">
        <v>100</v>
      </c>
      <c r="E79" s="10" t="s">
        <v>311</v>
      </c>
      <c r="L79" t="s">
        <v>223</v>
      </c>
    </row>
    <row r="80" spans="1:12" x14ac:dyDescent="0.25">
      <c r="A80" s="10" t="s">
        <v>99</v>
      </c>
      <c r="E80" s="10" t="s">
        <v>312</v>
      </c>
      <c r="L80" t="s">
        <v>224</v>
      </c>
    </row>
    <row r="81" spans="1:12" x14ac:dyDescent="0.25">
      <c r="A81" s="10" t="s">
        <v>98</v>
      </c>
      <c r="E81" s="10" t="s">
        <v>313</v>
      </c>
      <c r="L81" t="s">
        <v>225</v>
      </c>
    </row>
    <row r="82" spans="1:12" x14ac:dyDescent="0.25">
      <c r="A82" s="10" t="s">
        <v>97</v>
      </c>
      <c r="E82" s="10" t="s">
        <v>314</v>
      </c>
      <c r="L82" t="s">
        <v>226</v>
      </c>
    </row>
    <row r="83" spans="1:12" x14ac:dyDescent="0.25">
      <c r="A83" s="10" t="s">
        <v>96</v>
      </c>
      <c r="E83" s="10" t="s">
        <v>315</v>
      </c>
      <c r="L83" t="s">
        <v>227</v>
      </c>
    </row>
    <row r="84" spans="1:12" x14ac:dyDescent="0.25">
      <c r="A84" s="10" t="s">
        <v>95</v>
      </c>
      <c r="E84" s="10" t="s">
        <v>316</v>
      </c>
      <c r="L84" t="s">
        <v>228</v>
      </c>
    </row>
    <row r="85" spans="1:12" x14ac:dyDescent="0.25">
      <c r="A85" s="10" t="s">
        <v>94</v>
      </c>
      <c r="E85" s="10" t="s">
        <v>317</v>
      </c>
      <c r="L85" t="s">
        <v>229</v>
      </c>
    </row>
    <row r="86" spans="1:12" x14ac:dyDescent="0.25">
      <c r="A86" s="10" t="s">
        <v>93</v>
      </c>
      <c r="E86" s="10" t="s">
        <v>318</v>
      </c>
      <c r="L86" t="s">
        <v>230</v>
      </c>
    </row>
    <row r="87" spans="1:12" x14ac:dyDescent="0.25">
      <c r="A87" s="10" t="s">
        <v>92</v>
      </c>
      <c r="E87" s="10" t="s">
        <v>319</v>
      </c>
      <c r="L87" t="s">
        <v>231</v>
      </c>
    </row>
    <row r="88" spans="1:12" x14ac:dyDescent="0.25">
      <c r="A88" s="10" t="s">
        <v>91</v>
      </c>
      <c r="E88" s="10" t="s">
        <v>320</v>
      </c>
      <c r="L88" t="s">
        <v>232</v>
      </c>
    </row>
    <row r="89" spans="1:12" x14ac:dyDescent="0.25">
      <c r="A89" s="10" t="s">
        <v>90</v>
      </c>
      <c r="E89" s="10" t="s">
        <v>321</v>
      </c>
      <c r="L89" t="s">
        <v>233</v>
      </c>
    </row>
    <row r="90" spans="1:12" x14ac:dyDescent="0.25">
      <c r="A90" s="10" t="s">
        <v>89</v>
      </c>
      <c r="E90" s="10" t="s">
        <v>322</v>
      </c>
      <c r="L90" t="s">
        <v>234</v>
      </c>
    </row>
    <row r="91" spans="1:12" x14ac:dyDescent="0.25">
      <c r="A91" s="10" t="s">
        <v>88</v>
      </c>
      <c r="E91" s="10" t="s">
        <v>323</v>
      </c>
      <c r="L91" t="s">
        <v>176</v>
      </c>
    </row>
    <row r="92" spans="1:12" x14ac:dyDescent="0.25">
      <c r="A92" s="10" t="s">
        <v>87</v>
      </c>
      <c r="E92" s="10" t="s">
        <v>324</v>
      </c>
      <c r="L92" t="s">
        <v>235</v>
      </c>
    </row>
    <row r="93" spans="1:12" x14ac:dyDescent="0.25">
      <c r="A93" s="10" t="s">
        <v>86</v>
      </c>
      <c r="E93" s="10" t="s">
        <v>325</v>
      </c>
      <c r="L93" t="s">
        <v>236</v>
      </c>
    </row>
    <row r="94" spans="1:12" x14ac:dyDescent="0.25">
      <c r="A94" s="10" t="s">
        <v>85</v>
      </c>
      <c r="E94" s="10" t="s">
        <v>326</v>
      </c>
      <c r="L94" t="s">
        <v>237</v>
      </c>
    </row>
    <row r="95" spans="1:12" x14ac:dyDescent="0.25">
      <c r="A95" s="10" t="s">
        <v>84</v>
      </c>
      <c r="E95" s="10" t="s">
        <v>327</v>
      </c>
      <c r="L95" t="s">
        <v>238</v>
      </c>
    </row>
    <row r="96" spans="1:12" x14ac:dyDescent="0.25">
      <c r="A96" s="10" t="s">
        <v>83</v>
      </c>
      <c r="E96" s="10" t="s">
        <v>328</v>
      </c>
      <c r="L96" t="s">
        <v>232</v>
      </c>
    </row>
    <row r="97" spans="1:12" x14ac:dyDescent="0.25">
      <c r="A97" s="10" t="s">
        <v>82</v>
      </c>
      <c r="E97" s="10" t="s">
        <v>329</v>
      </c>
      <c r="L97" t="s">
        <v>218</v>
      </c>
    </row>
    <row r="98" spans="1:12" x14ac:dyDescent="0.25">
      <c r="A98" s="10" t="s">
        <v>81</v>
      </c>
      <c r="E98" s="10" t="s">
        <v>330</v>
      </c>
      <c r="L98" t="s">
        <v>209</v>
      </c>
    </row>
    <row r="99" spans="1:12" x14ac:dyDescent="0.25">
      <c r="A99" s="10" t="s">
        <v>80</v>
      </c>
      <c r="E99" s="10" t="s">
        <v>331</v>
      </c>
      <c r="L99" t="s">
        <v>178</v>
      </c>
    </row>
    <row r="100" spans="1:12" x14ac:dyDescent="0.25">
      <c r="A100" s="10" t="s">
        <v>79</v>
      </c>
      <c r="E100" s="10" t="s">
        <v>332</v>
      </c>
      <c r="L100" t="s">
        <v>239</v>
      </c>
    </row>
    <row r="101" spans="1:12" x14ac:dyDescent="0.25">
      <c r="A101" s="10" t="s">
        <v>78</v>
      </c>
      <c r="E101" s="10" t="s">
        <v>333</v>
      </c>
      <c r="L101" t="s">
        <v>205</v>
      </c>
    </row>
    <row r="102" spans="1:12" x14ac:dyDescent="0.25">
      <c r="A102" s="10" t="s">
        <v>77</v>
      </c>
      <c r="E102" s="10" t="s">
        <v>334</v>
      </c>
      <c r="L102" t="s">
        <v>240</v>
      </c>
    </row>
    <row r="103" spans="1:12" x14ac:dyDescent="0.25">
      <c r="A103" s="10" t="s">
        <v>76</v>
      </c>
      <c r="E103" s="10" t="s">
        <v>335</v>
      </c>
      <c r="L103" t="s">
        <v>241</v>
      </c>
    </row>
  </sheetData>
  <pageMargins left="0.75" right="0.75" top="1" bottom="1" header="0.5" footer="0.5"/>
  <ignoredErrors>
    <ignoredError sqref="A30:A103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6 c 4 b 9 f 8 - f f 7 4 - 4 c 7 f - b 5 9 6 - 6 4 3 6 c 2 7 7 d f 5 8 "   x m l n s = " h t t p : / / s c h e m a s . m i c r o s o f t . c o m / D a t a M a s h u p " > A A A A A B Y D A A B Q S w M E F A A C A A g A H U p o W e 2 8 Z I K m A A A A 9 g A A A B I A H A B D b 2 5 m a W c v U G F j a 2 F n Z S 5 4 b W w g o h g A K K A U A A A A A A A A A A A A A A A A A A A A A A A A A A A A h Y 9 N C s I w G E S v U r J v f l p B L V / T h b g Q L A i C u A 0 x t s E 2 l S Y 1 v Z s L j + Q V r G j V n c t 5 8 x Y z 9 + s N s r 6 u g o t q r W 5 M i h i m K F B G N g d t i h R 1 7 h j O U M Z h I + R J F C o Y Z G O T 3 h 5 S V D p 3 T g j x 3 m M f 4 6 Y t S E Q p I / t 8 v Z W l q g X 6 y P q / H G p j n T B S I Q 6 7 1 x g e Y R Z P M J v O M Q U y Q s i 1 + Q r R s P f Z / k B Y d J X r W s W V C V d L I G M E 8 v 7 A H 1 B L A w Q U A A I A C A A d S m h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H U p o W S i K R 7 g O A A A A E Q A A A B M A H A B G b 3 J t d W x h c y 9 T Z W N 0 a W 9 u M S 5 t I K I Y A C i g F A A A A A A A A A A A A A A A A A A A A A A A A A A A A C t O T S 7 J z M 9 T C I b Q h t Y A U E s B A i 0 A F A A C A A g A H U p o W e 2 8 Z I K m A A A A 9 g A A A B I A A A A A A A A A A A A A A A A A A A A A A E N v b m Z p Z y 9 Q Y W N r Y W d l L n h t b F B L A Q I t A B Q A A g A I A B 1 K a F k P y u m r p A A A A O k A A A A T A A A A A A A A A A A A A A A A A P I A A A B b Q 2 9 u d G V u d F 9 U e X B l c 1 0 u e G 1 s U E s B A i 0 A F A A C A A g A H U p o W S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B f D G J W L 6 q V M m z j k I b 4 G U 7 8 A A A A A A g A A A A A A E G Y A A A A B A A A g A A A A L J 8 f 6 6 + J j G 2 m 5 I Y x 4 z H 2 s O x 1 9 S p E c s F r X C I G n H 2 2 q x w A A A A A D o A A A A A C A A A g A A A A u R L l N 7 P v 1 n U 5 L Y m 7 D 0 X K N g d d 8 I i v O i 0 d g x l i + h n K f J l Q A A A A q o x y Q 3 2 S J s m 4 9 Q P u d K V K H x Q g q o x s 5 s a V 5 2 B s o b S 1 m a 2 5 R M J M h U a L J W 9 5 h 3 w y l y O n 1 v r e b d l j g G c i c 6 I D + R l j j f e d c k o + 2 t F b p D H s k 9 K G W X 9 A A A A A p f L 9 0 W 1 v P g H 5 O t + L o + q 2 r G Q H T / t s y W p P n h E 3 k E B Y 9 0 5 / z 4 0 4 9 y x Z I r K Q w c m + Z Y 6 C O / Y t n z s T V E T u e t E w i d A b h w = = < / D a t a M a s h u p > 
</file>

<file path=customXml/itemProps1.xml><?xml version="1.0" encoding="utf-8"?>
<ds:datastoreItem xmlns:ds="http://schemas.openxmlformats.org/officeDocument/2006/customXml" ds:itemID="{850CDAB2-0A1F-41AE-97B5-5CA53037E93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Charts</vt:lpstr>
      </vt:variant>
      <vt:variant>
        <vt:i4>3</vt:i4>
      </vt:variant>
    </vt:vector>
  </HeadingPairs>
  <TitlesOfParts>
    <vt:vector size="13" baseType="lpstr">
      <vt:lpstr>Sales</vt:lpstr>
      <vt:lpstr>Spills</vt:lpstr>
      <vt:lpstr>Summary</vt:lpstr>
      <vt:lpstr>Restaurant</vt:lpstr>
      <vt:lpstr>Table</vt:lpstr>
      <vt:lpstr>Economy</vt:lpstr>
      <vt:lpstr>Washing Powder</vt:lpstr>
      <vt:lpstr>Parliament</vt:lpstr>
      <vt:lpstr>Import</vt:lpstr>
      <vt:lpstr>Magic Chart</vt:lpstr>
      <vt:lpstr>Column Chart</vt:lpstr>
      <vt:lpstr>Combo Chart</vt:lpstr>
      <vt:lpstr>Pie 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Campbell</dc:creator>
  <dc:description>This file is copyrighted © to William Campbell, 2024
me@WilliamCampbell.ie</dc:description>
  <cp:lastModifiedBy>William Campbell</cp:lastModifiedBy>
  <cp:lastPrinted>2024-07-16T09:19:22Z</cp:lastPrinted>
  <dcterms:created xsi:type="dcterms:W3CDTF">2023-10-27T09:44:02Z</dcterms:created>
  <dcterms:modified xsi:type="dcterms:W3CDTF">2025-05-19T15:01:47Z</dcterms:modified>
</cp:coreProperties>
</file>